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000" windowHeight="6600" tabRatio="910" firstSheet="1" activeTab="1"/>
  </bookViews>
  <sheets>
    <sheet name="нормы" sheetId="56" state="hidden" r:id="rId1"/>
    <sheet name="тарифы" sheetId="55" r:id="rId2"/>
  </sheets>
  <calcPr calcId="125725"/>
</workbook>
</file>

<file path=xl/calcChain.xml><?xml version="1.0" encoding="utf-8"?>
<calcChain xmlns="http://schemas.openxmlformats.org/spreadsheetml/2006/main">
  <c r="H18" i="55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7"/>
  <c r="BC17" i="56"/>
  <c r="BC16"/>
  <c r="BF149"/>
  <c r="BF143"/>
  <c r="BF137"/>
  <c r="BD17"/>
  <c r="BD16"/>
  <c r="BC26"/>
  <c r="BC25"/>
  <c r="G129" i="55"/>
  <c r="G116"/>
  <c r="G112"/>
  <c r="G111"/>
  <c r="G107"/>
  <c r="G105"/>
  <c r="G104"/>
  <c r="G103"/>
  <c r="G102"/>
  <c r="G99"/>
  <c r="G49"/>
  <c r="G48"/>
  <c r="G34"/>
  <c r="G33"/>
  <c r="G32"/>
  <c r="G31"/>
  <c r="BE22" i="56"/>
  <c r="BE19"/>
  <c r="BE18"/>
  <c r="BE70"/>
  <c r="BE74"/>
  <c r="BE72"/>
  <c r="BE73"/>
  <c r="BE71"/>
  <c r="BE77"/>
  <c r="BE78"/>
  <c r="BB84"/>
  <c r="AQ84"/>
  <c r="AL84"/>
  <c r="AM84"/>
  <c r="AR84"/>
  <c r="Y84"/>
  <c r="O84"/>
  <c r="L84"/>
  <c r="J84"/>
  <c r="H84"/>
  <c r="Y152"/>
  <c r="O152"/>
  <c r="L152"/>
  <c r="J152"/>
  <c r="H152"/>
  <c r="Y151"/>
  <c r="O151"/>
  <c r="L151"/>
  <c r="J151"/>
  <c r="H151"/>
  <c r="AL150"/>
  <c r="Y150"/>
  <c r="O150"/>
  <c r="S150"/>
  <c r="L150"/>
  <c r="J150"/>
  <c r="H150"/>
  <c r="AK149"/>
  <c r="AJ149"/>
  <c r="Y149"/>
  <c r="O149"/>
  <c r="L149"/>
  <c r="J149"/>
  <c r="H149"/>
  <c r="BB129"/>
  <c r="AQ129"/>
  <c r="AR129"/>
  <c r="AL129"/>
  <c r="AM129"/>
  <c r="Y129"/>
  <c r="O129"/>
  <c r="L129"/>
  <c r="J129"/>
  <c r="H129"/>
  <c r="BB128"/>
  <c r="AQ128"/>
  <c r="AL128"/>
  <c r="Y128"/>
  <c r="O128"/>
  <c r="L128"/>
  <c r="S128"/>
  <c r="J128"/>
  <c r="H128"/>
  <c r="BB106"/>
  <c r="AQ106"/>
  <c r="AL106"/>
  <c r="Y106"/>
  <c r="O106"/>
  <c r="L106"/>
  <c r="J106"/>
  <c r="H106"/>
  <c r="BB97"/>
  <c r="AQ97"/>
  <c r="AL97"/>
  <c r="Y97"/>
  <c r="O97"/>
  <c r="L97"/>
  <c r="J97"/>
  <c r="H97"/>
  <c r="BB81"/>
  <c r="AQ81"/>
  <c r="AR81"/>
  <c r="AL81"/>
  <c r="AV81"/>
  <c r="Y81"/>
  <c r="O81"/>
  <c r="L81"/>
  <c r="J81"/>
  <c r="H81"/>
  <c r="AQ21"/>
  <c r="AL21"/>
  <c r="AV21"/>
  <c r="Y21"/>
  <c r="O21"/>
  <c r="L21"/>
  <c r="J21"/>
  <c r="H21"/>
  <c r="BB18"/>
  <c r="AQ18"/>
  <c r="AL18"/>
  <c r="Y18"/>
  <c r="O18"/>
  <c r="L18"/>
  <c r="J18"/>
  <c r="H18"/>
  <c r="BB14"/>
  <c r="AQ14"/>
  <c r="AL14"/>
  <c r="AM14"/>
  <c r="Y14"/>
  <c r="O14"/>
  <c r="L14"/>
  <c r="J14"/>
  <c r="H14"/>
  <c r="BB94"/>
  <c r="AQ94"/>
  <c r="AL94"/>
  <c r="AV94"/>
  <c r="Y94"/>
  <c r="O94"/>
  <c r="L94"/>
  <c r="J94"/>
  <c r="H94"/>
  <c r="BB109"/>
  <c r="AQ109"/>
  <c r="AL109"/>
  <c r="Y109"/>
  <c r="O109"/>
  <c r="L109"/>
  <c r="J109"/>
  <c r="H109"/>
  <c r="Y108"/>
  <c r="S108"/>
  <c r="U108"/>
  <c r="AR107"/>
  <c r="Y107"/>
  <c r="S107"/>
  <c r="BB93"/>
  <c r="AQ93"/>
  <c r="AL93"/>
  <c r="AV93"/>
  <c r="Y93"/>
  <c r="O93"/>
  <c r="L93"/>
  <c r="J93"/>
  <c r="H93"/>
  <c r="BB92"/>
  <c r="AQ92"/>
  <c r="AL92"/>
  <c r="AV92"/>
  <c r="Y92"/>
  <c r="O92"/>
  <c r="L92"/>
  <c r="J92"/>
  <c r="H92"/>
  <c r="BB105"/>
  <c r="AQ105"/>
  <c r="AL105"/>
  <c r="Y105"/>
  <c r="O105"/>
  <c r="L105"/>
  <c r="J105"/>
  <c r="H105"/>
  <c r="Y146"/>
  <c r="O146"/>
  <c r="L146"/>
  <c r="J146"/>
  <c r="H146"/>
  <c r="Y145"/>
  <c r="O145"/>
  <c r="L145"/>
  <c r="J145"/>
  <c r="H145"/>
  <c r="AK144"/>
  <c r="AJ144"/>
  <c r="Y144"/>
  <c r="O144"/>
  <c r="L144"/>
  <c r="J144"/>
  <c r="H144"/>
  <c r="AK143"/>
  <c r="AJ143"/>
  <c r="Y143"/>
  <c r="O143"/>
  <c r="L143"/>
  <c r="J143"/>
  <c r="H143"/>
  <c r="Y140"/>
  <c r="O140"/>
  <c r="L140"/>
  <c r="J140"/>
  <c r="H140"/>
  <c r="Y139"/>
  <c r="O139"/>
  <c r="L139"/>
  <c r="J139"/>
  <c r="H139"/>
  <c r="AK138"/>
  <c r="AJ138"/>
  <c r="AL138"/>
  <c r="Y138"/>
  <c r="O138"/>
  <c r="L138"/>
  <c r="J138"/>
  <c r="H138"/>
  <c r="AK137"/>
  <c r="AJ137"/>
  <c r="AL137"/>
  <c r="Y137"/>
  <c r="O137"/>
  <c r="L137"/>
  <c r="J137"/>
  <c r="H137"/>
  <c r="BB127"/>
  <c r="AQ127"/>
  <c r="AL127"/>
  <c r="Y127"/>
  <c r="O127"/>
  <c r="L127"/>
  <c r="J127"/>
  <c r="H127"/>
  <c r="BB91"/>
  <c r="AQ91"/>
  <c r="AL91"/>
  <c r="Y91"/>
  <c r="O91"/>
  <c r="L91"/>
  <c r="J91"/>
  <c r="H91"/>
  <c r="BB90"/>
  <c r="AQ90"/>
  <c r="AL90"/>
  <c r="Y90"/>
  <c r="O90"/>
  <c r="L90"/>
  <c r="J90"/>
  <c r="H90"/>
  <c r="BB26"/>
  <c r="AQ26"/>
  <c r="AL26"/>
  <c r="Y26"/>
  <c r="O26"/>
  <c r="L26"/>
  <c r="S26"/>
  <c r="J26"/>
  <c r="H26"/>
  <c r="BB25"/>
  <c r="AQ25"/>
  <c r="AL25"/>
  <c r="Y25"/>
  <c r="O25"/>
  <c r="L25"/>
  <c r="J25"/>
  <c r="H25"/>
  <c r="BB126"/>
  <c r="AQ126"/>
  <c r="AR126"/>
  <c r="AL126"/>
  <c r="Y126"/>
  <c r="O126"/>
  <c r="L126"/>
  <c r="J126"/>
  <c r="H126"/>
  <c r="BB77"/>
  <c r="AQ77"/>
  <c r="AR77"/>
  <c r="AL77"/>
  <c r="AM77"/>
  <c r="Y77"/>
  <c r="O77"/>
  <c r="L77"/>
  <c r="J77"/>
  <c r="H77"/>
  <c r="BB125"/>
  <c r="AQ125"/>
  <c r="AL125"/>
  <c r="Y125"/>
  <c r="O125"/>
  <c r="L125"/>
  <c r="J125"/>
  <c r="H125"/>
  <c r="BB124"/>
  <c r="AQ124"/>
  <c r="AL124"/>
  <c r="Y124"/>
  <c r="O124"/>
  <c r="S124"/>
  <c r="L124"/>
  <c r="J124"/>
  <c r="H124"/>
  <c r="BB123"/>
  <c r="AQ123"/>
  <c r="AL123"/>
  <c r="AM123"/>
  <c r="AR123"/>
  <c r="Y123"/>
  <c r="O123"/>
  <c r="L123"/>
  <c r="J123"/>
  <c r="H123"/>
  <c r="BB122"/>
  <c r="AQ122"/>
  <c r="AL122"/>
  <c r="AM122"/>
  <c r="AR122"/>
  <c r="Y122"/>
  <c r="O122"/>
  <c r="L122"/>
  <c r="J122"/>
  <c r="H122"/>
  <c r="BB121"/>
  <c r="AQ121"/>
  <c r="AL121"/>
  <c r="Y121"/>
  <c r="O121"/>
  <c r="L121"/>
  <c r="J121"/>
  <c r="H121"/>
  <c r="BB120"/>
  <c r="AQ120"/>
  <c r="AL120"/>
  <c r="Y120"/>
  <c r="O120"/>
  <c r="S120"/>
  <c r="L120"/>
  <c r="J120"/>
  <c r="H120"/>
  <c r="BB119"/>
  <c r="AQ119"/>
  <c r="AL119"/>
  <c r="AV119"/>
  <c r="Y119"/>
  <c r="O119"/>
  <c r="L119"/>
  <c r="J119"/>
  <c r="H119"/>
  <c r="BB118"/>
  <c r="AQ118"/>
  <c r="AL118"/>
  <c r="AV118"/>
  <c r="Y118"/>
  <c r="O118"/>
  <c r="L118"/>
  <c r="J118"/>
  <c r="H118"/>
  <c r="BB117"/>
  <c r="AQ117"/>
  <c r="AL117"/>
  <c r="Y117"/>
  <c r="O117"/>
  <c r="L117"/>
  <c r="J117"/>
  <c r="H117"/>
  <c r="BB116"/>
  <c r="AQ116"/>
  <c r="AL116"/>
  <c r="Y116"/>
  <c r="O116"/>
  <c r="L116"/>
  <c r="J116"/>
  <c r="H116"/>
  <c r="BE27"/>
  <c r="BB27"/>
  <c r="AQ27"/>
  <c r="AR27"/>
  <c r="AL27"/>
  <c r="AM27"/>
  <c r="Y27"/>
  <c r="O27"/>
  <c r="L27"/>
  <c r="J27"/>
  <c r="H27"/>
  <c r="BB76"/>
  <c r="AQ76"/>
  <c r="AL76"/>
  <c r="AV76"/>
  <c r="Y76"/>
  <c r="O76"/>
  <c r="L76"/>
  <c r="J76"/>
  <c r="H76"/>
  <c r="BB75"/>
  <c r="AQ75"/>
  <c r="AL75"/>
  <c r="AM75"/>
  <c r="AV75"/>
  <c r="Y75"/>
  <c r="O75"/>
  <c r="L75"/>
  <c r="J75"/>
  <c r="H75"/>
  <c r="BB74"/>
  <c r="AQ74"/>
  <c r="AL74"/>
  <c r="AM74"/>
  <c r="AR74"/>
  <c r="Y74"/>
  <c r="O74"/>
  <c r="L74"/>
  <c r="J74"/>
  <c r="H74"/>
  <c r="BB73"/>
  <c r="AQ73"/>
  <c r="AL73"/>
  <c r="AV73"/>
  <c r="Y73"/>
  <c r="O73"/>
  <c r="L73"/>
  <c r="J73"/>
  <c r="H73"/>
  <c r="BB135"/>
  <c r="AQ135"/>
  <c r="AL135"/>
  <c r="AM135"/>
  <c r="AR135"/>
  <c r="Y135"/>
  <c r="O135"/>
  <c r="L135"/>
  <c r="J135"/>
  <c r="H135"/>
  <c r="BB134"/>
  <c r="AQ134"/>
  <c r="AL134"/>
  <c r="AM134"/>
  <c r="AR134"/>
  <c r="AV134"/>
  <c r="Y134"/>
  <c r="O134"/>
  <c r="L134"/>
  <c r="J134"/>
  <c r="H134"/>
  <c r="BB133"/>
  <c r="AQ133"/>
  <c r="AL133"/>
  <c r="AM133"/>
  <c r="Y133"/>
  <c r="O133"/>
  <c r="L133"/>
  <c r="J133"/>
  <c r="H133"/>
  <c r="BB132"/>
  <c r="AQ132"/>
  <c r="AL132"/>
  <c r="AV132"/>
  <c r="Y132"/>
  <c r="O132"/>
  <c r="L132"/>
  <c r="J132"/>
  <c r="H132"/>
  <c r="BB131"/>
  <c r="AQ131"/>
  <c r="AL131"/>
  <c r="Y131"/>
  <c r="O131"/>
  <c r="L131"/>
  <c r="J131"/>
  <c r="H131"/>
  <c r="BB130"/>
  <c r="AQ130"/>
  <c r="AL130"/>
  <c r="AM130"/>
  <c r="AR130"/>
  <c r="Y130"/>
  <c r="O130"/>
  <c r="L130"/>
  <c r="J130"/>
  <c r="H130"/>
  <c r="BB89"/>
  <c r="AQ89"/>
  <c r="AL89"/>
  <c r="Y89"/>
  <c r="O89"/>
  <c r="L89"/>
  <c r="J89"/>
  <c r="H89"/>
  <c r="BB88"/>
  <c r="AQ88"/>
  <c r="AL88"/>
  <c r="Y88"/>
  <c r="O88"/>
  <c r="L88"/>
  <c r="S88"/>
  <c r="J88"/>
  <c r="H88"/>
  <c r="BB87"/>
  <c r="AQ87"/>
  <c r="AL87"/>
  <c r="AV87"/>
  <c r="Y87"/>
  <c r="O87"/>
  <c r="L87"/>
  <c r="J87"/>
  <c r="H87"/>
  <c r="BB86"/>
  <c r="AQ86"/>
  <c r="AL86"/>
  <c r="Y86"/>
  <c r="O86"/>
  <c r="S86"/>
  <c r="L86"/>
  <c r="J86"/>
  <c r="H86"/>
  <c r="BB85"/>
  <c r="AQ85"/>
  <c r="AL85"/>
  <c r="Y85"/>
  <c r="O85"/>
  <c r="L85"/>
  <c r="J85"/>
  <c r="H85"/>
  <c r="BB104"/>
  <c r="AQ104"/>
  <c r="AL104"/>
  <c r="AV104"/>
  <c r="Y104"/>
  <c r="L104"/>
  <c r="J104"/>
  <c r="H104"/>
  <c r="BB103"/>
  <c r="AQ103"/>
  <c r="AL103"/>
  <c r="AV103"/>
  <c r="Y103"/>
  <c r="J103"/>
  <c r="H103"/>
  <c r="L103"/>
  <c r="S103"/>
  <c r="BB115"/>
  <c r="AQ115"/>
  <c r="AL115"/>
  <c r="AV115"/>
  <c r="Y115"/>
  <c r="J115"/>
  <c r="H115"/>
  <c r="L115"/>
  <c r="BB72"/>
  <c r="AQ72"/>
  <c r="AL72"/>
  <c r="Y72"/>
  <c r="J72"/>
  <c r="S72"/>
  <c r="H72"/>
  <c r="L72"/>
  <c r="BB71"/>
  <c r="AQ71"/>
  <c r="AL71"/>
  <c r="Y71"/>
  <c r="J71"/>
  <c r="H71"/>
  <c r="L71"/>
  <c r="O103"/>
  <c r="O104"/>
  <c r="O71"/>
  <c r="O72"/>
  <c r="O115"/>
  <c r="AQ95"/>
  <c r="AL24"/>
  <c r="AV24"/>
  <c r="AL23"/>
  <c r="AM23"/>
  <c r="BB95"/>
  <c r="AL95"/>
  <c r="Y95"/>
  <c r="O95"/>
  <c r="L95"/>
  <c r="J95"/>
  <c r="H95"/>
  <c r="BB24"/>
  <c r="AQ24"/>
  <c r="Y24"/>
  <c r="O24"/>
  <c r="L24"/>
  <c r="J24"/>
  <c r="H24"/>
  <c r="BB23"/>
  <c r="AQ23"/>
  <c r="AR23"/>
  <c r="Y23"/>
  <c r="O23"/>
  <c r="L23"/>
  <c r="J23"/>
  <c r="H23"/>
  <c r="BB22"/>
  <c r="AQ22"/>
  <c r="AL22"/>
  <c r="Y22"/>
  <c r="O22"/>
  <c r="L22"/>
  <c r="J22"/>
  <c r="H22"/>
  <c r="BB52"/>
  <c r="AQ52"/>
  <c r="AL52"/>
  <c r="Y52"/>
  <c r="O52"/>
  <c r="S52"/>
  <c r="L52"/>
  <c r="J52"/>
  <c r="H52"/>
  <c r="Y102"/>
  <c r="Y83"/>
  <c r="Y82"/>
  <c r="Y44"/>
  <c r="Y20"/>
  <c r="Y19"/>
  <c r="Y80"/>
  <c r="Y79"/>
  <c r="Y101"/>
  <c r="Y100"/>
  <c r="Y99"/>
  <c r="Y114"/>
  <c r="Y113"/>
  <c r="Y112"/>
  <c r="Y111"/>
  <c r="Y110"/>
  <c r="Y96"/>
  <c r="Y98"/>
  <c r="Y78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1"/>
  <c r="Y50"/>
  <c r="Y49"/>
  <c r="Y48"/>
  <c r="Y47"/>
  <c r="Y46"/>
  <c r="Y45"/>
  <c r="Y43"/>
  <c r="Y42"/>
  <c r="Y41"/>
  <c r="Y40"/>
  <c r="Y39"/>
  <c r="Y38"/>
  <c r="Y37"/>
  <c r="Y36"/>
  <c r="Y35"/>
  <c r="Y34"/>
  <c r="Y33"/>
  <c r="Y32"/>
  <c r="Y31"/>
  <c r="Y30"/>
  <c r="Y29"/>
  <c r="Y28"/>
  <c r="Y17"/>
  <c r="Y16"/>
  <c r="Y15"/>
  <c r="BB102"/>
  <c r="AQ102"/>
  <c r="AL102"/>
  <c r="AM102"/>
  <c r="O102"/>
  <c r="L102"/>
  <c r="J102"/>
  <c r="H102"/>
  <c r="BB83"/>
  <c r="AQ83"/>
  <c r="AL83"/>
  <c r="O83"/>
  <c r="L83"/>
  <c r="J83"/>
  <c r="H83"/>
  <c r="BB82"/>
  <c r="AQ82"/>
  <c r="AL82"/>
  <c r="AM82"/>
  <c r="AV82"/>
  <c r="O82"/>
  <c r="L82"/>
  <c r="J82"/>
  <c r="S82"/>
  <c r="U82"/>
  <c r="W82"/>
  <c r="H82"/>
  <c r="BB44"/>
  <c r="AQ44"/>
  <c r="AL44"/>
  <c r="AV44"/>
  <c r="O44"/>
  <c r="L44"/>
  <c r="J44"/>
  <c r="H44"/>
  <c r="BB80"/>
  <c r="AQ80"/>
  <c r="AL80"/>
  <c r="AV80"/>
  <c r="O80"/>
  <c r="L80"/>
  <c r="J80"/>
  <c r="H80"/>
  <c r="BB79"/>
  <c r="AQ79"/>
  <c r="O79"/>
  <c r="L79"/>
  <c r="J79"/>
  <c r="H79"/>
  <c r="S79"/>
  <c r="AQ20"/>
  <c r="AL20"/>
  <c r="O20"/>
  <c r="L20"/>
  <c r="J20"/>
  <c r="H20"/>
  <c r="BB19"/>
  <c r="AQ19"/>
  <c r="AL19"/>
  <c r="AM19"/>
  <c r="O19"/>
  <c r="L19"/>
  <c r="J19"/>
  <c r="H19"/>
  <c r="BB114"/>
  <c r="AQ114"/>
  <c r="AL114"/>
  <c r="O114"/>
  <c r="L114"/>
  <c r="J114"/>
  <c r="H114"/>
  <c r="BB113"/>
  <c r="AQ113"/>
  <c r="AL113"/>
  <c r="AV113"/>
  <c r="O113"/>
  <c r="L113"/>
  <c r="J113"/>
  <c r="H113"/>
  <c r="BB112"/>
  <c r="AQ112"/>
  <c r="AL112"/>
  <c r="AV112"/>
  <c r="O112"/>
  <c r="L112"/>
  <c r="J112"/>
  <c r="H112"/>
  <c r="AL101"/>
  <c r="AV101"/>
  <c r="AL100"/>
  <c r="AV100"/>
  <c r="AL99"/>
  <c r="AV99"/>
  <c r="AM99"/>
  <c r="AL111"/>
  <c r="AV111"/>
  <c r="AL110"/>
  <c r="AM110"/>
  <c r="AV110"/>
  <c r="AL96"/>
  <c r="AM96"/>
  <c r="AL98"/>
  <c r="AV98"/>
  <c r="AM98"/>
  <c r="AR98"/>
  <c r="AL78"/>
  <c r="AM78"/>
  <c r="AL70"/>
  <c r="AM70"/>
  <c r="AV70"/>
  <c r="AL69"/>
  <c r="AL68"/>
  <c r="AL67"/>
  <c r="AM67"/>
  <c r="AV67"/>
  <c r="AL66"/>
  <c r="AV66"/>
  <c r="AL65"/>
  <c r="AV65"/>
  <c r="AM65"/>
  <c r="AR65"/>
  <c r="AL64"/>
  <c r="AM64"/>
  <c r="AL63"/>
  <c r="AM63"/>
  <c r="AV63"/>
  <c r="AL62"/>
  <c r="AL61"/>
  <c r="AL60"/>
  <c r="AV60"/>
  <c r="AM60"/>
  <c r="AR60"/>
  <c r="AL59"/>
  <c r="AV59"/>
  <c r="AL58"/>
  <c r="AM58"/>
  <c r="AR58"/>
  <c r="AL57"/>
  <c r="AM57"/>
  <c r="AL56"/>
  <c r="AV56"/>
  <c r="AM56"/>
  <c r="AR56"/>
  <c r="AL55"/>
  <c r="AV55"/>
  <c r="AL54"/>
  <c r="AV54"/>
  <c r="AL53"/>
  <c r="AL51"/>
  <c r="AL50"/>
  <c r="AL49"/>
  <c r="AM49"/>
  <c r="AR49"/>
  <c r="AV49"/>
  <c r="AL48"/>
  <c r="AV48"/>
  <c r="AL47"/>
  <c r="AL46"/>
  <c r="AL45"/>
  <c r="AL43"/>
  <c r="AV43"/>
  <c r="AL42"/>
  <c r="AL41"/>
  <c r="AL40"/>
  <c r="AL39"/>
  <c r="AM39"/>
  <c r="AR39"/>
  <c r="AL38"/>
  <c r="AM38"/>
  <c r="AL37"/>
  <c r="AL36"/>
  <c r="AL35"/>
  <c r="AL34"/>
  <c r="AL33"/>
  <c r="AM33"/>
  <c r="AL32"/>
  <c r="AL31"/>
  <c r="AM31"/>
  <c r="AL30"/>
  <c r="AV30"/>
  <c r="AL29"/>
  <c r="AM29"/>
  <c r="AL28"/>
  <c r="AL17"/>
  <c r="AV17"/>
  <c r="AL16"/>
  <c r="AL15"/>
  <c r="BB101"/>
  <c r="AQ101"/>
  <c r="AR101"/>
  <c r="O101"/>
  <c r="L101"/>
  <c r="J101"/>
  <c r="H101"/>
  <c r="BB100"/>
  <c r="AQ100"/>
  <c r="O100"/>
  <c r="L100"/>
  <c r="J100"/>
  <c r="H100"/>
  <c r="BB99"/>
  <c r="AQ99"/>
  <c r="O99"/>
  <c r="L99"/>
  <c r="J99"/>
  <c r="H99"/>
  <c r="BB111"/>
  <c r="AQ111"/>
  <c r="O111"/>
  <c r="L111"/>
  <c r="J111"/>
  <c r="H111"/>
  <c r="BB110"/>
  <c r="AQ110"/>
  <c r="O110"/>
  <c r="L110"/>
  <c r="J110"/>
  <c r="H110"/>
  <c r="AQ96"/>
  <c r="AQ98"/>
  <c r="AQ78"/>
  <c r="AR78"/>
  <c r="AQ70"/>
  <c r="AR70"/>
  <c r="AQ69"/>
  <c r="AQ68"/>
  <c r="AQ67"/>
  <c r="AQ66"/>
  <c r="AR66"/>
  <c r="AQ65"/>
  <c r="AQ64"/>
  <c r="AR64"/>
  <c r="AQ63"/>
  <c r="AR63"/>
  <c r="AQ62"/>
  <c r="AQ61"/>
  <c r="AQ60"/>
  <c r="AQ59"/>
  <c r="AR59"/>
  <c r="AQ58"/>
  <c r="AQ57"/>
  <c r="AQ56"/>
  <c r="AQ55"/>
  <c r="AQ54"/>
  <c r="AQ53"/>
  <c r="AQ51"/>
  <c r="AQ50"/>
  <c r="AQ49"/>
  <c r="AQ48"/>
  <c r="AQ47"/>
  <c r="AQ46"/>
  <c r="AQ45"/>
  <c r="AQ43"/>
  <c r="AQ42"/>
  <c r="AQ41"/>
  <c r="AR41"/>
  <c r="AQ40"/>
  <c r="AQ39"/>
  <c r="AQ38"/>
  <c r="AQ37"/>
  <c r="AQ36"/>
  <c r="AQ35"/>
  <c r="AQ34"/>
  <c r="AQ33"/>
  <c r="AQ32"/>
  <c r="AQ31"/>
  <c r="AQ30"/>
  <c r="AQ29"/>
  <c r="AQ28"/>
  <c r="AQ17"/>
  <c r="AQ16"/>
  <c r="AQ15"/>
  <c r="AR15"/>
  <c r="H15"/>
  <c r="J15"/>
  <c r="L15"/>
  <c r="O15"/>
  <c r="BB15"/>
  <c r="H16"/>
  <c r="J16"/>
  <c r="L16"/>
  <c r="O16"/>
  <c r="BB16"/>
  <c r="H17"/>
  <c r="J17"/>
  <c r="L17"/>
  <c r="O17"/>
  <c r="BB17"/>
  <c r="H28"/>
  <c r="J28"/>
  <c r="L28"/>
  <c r="O28"/>
  <c r="BB28"/>
  <c r="H29"/>
  <c r="J29"/>
  <c r="L29"/>
  <c r="O29"/>
  <c r="BB29"/>
  <c r="H30"/>
  <c r="J30"/>
  <c r="L30"/>
  <c r="O30"/>
  <c r="BB30"/>
  <c r="H31"/>
  <c r="J31"/>
  <c r="L31"/>
  <c r="O31"/>
  <c r="BB31"/>
  <c r="H32"/>
  <c r="J32"/>
  <c r="L32"/>
  <c r="O32"/>
  <c r="BB32"/>
  <c r="H33"/>
  <c r="J33"/>
  <c r="L33"/>
  <c r="O33"/>
  <c r="BB33"/>
  <c r="H34"/>
  <c r="J34"/>
  <c r="L34"/>
  <c r="O34"/>
  <c r="BB34"/>
  <c r="H35"/>
  <c r="J35"/>
  <c r="L35"/>
  <c r="O35"/>
  <c r="BB35"/>
  <c r="H36"/>
  <c r="J36"/>
  <c r="L36"/>
  <c r="O36"/>
  <c r="BB36"/>
  <c r="H37"/>
  <c r="J37"/>
  <c r="L37"/>
  <c r="O37"/>
  <c r="BB37"/>
  <c r="H38"/>
  <c r="J38"/>
  <c r="L38"/>
  <c r="O38"/>
  <c r="BB38"/>
  <c r="H39"/>
  <c r="J39"/>
  <c r="L39"/>
  <c r="O39"/>
  <c r="BB39"/>
  <c r="H40"/>
  <c r="J40"/>
  <c r="L40"/>
  <c r="O40"/>
  <c r="BB40"/>
  <c r="H41"/>
  <c r="J41"/>
  <c r="L41"/>
  <c r="O41"/>
  <c r="BB41"/>
  <c r="H42"/>
  <c r="J42"/>
  <c r="L42"/>
  <c r="O42"/>
  <c r="BB42"/>
  <c r="H43"/>
  <c r="J43"/>
  <c r="L43"/>
  <c r="O43"/>
  <c r="BB43"/>
  <c r="H45"/>
  <c r="J45"/>
  <c r="L45"/>
  <c r="O45"/>
  <c r="BB45"/>
  <c r="H46"/>
  <c r="J46"/>
  <c r="L46"/>
  <c r="O46"/>
  <c r="BB46"/>
  <c r="H47"/>
  <c r="J47"/>
  <c r="L47"/>
  <c r="O47"/>
  <c r="BB47"/>
  <c r="H48"/>
  <c r="J48"/>
  <c r="L48"/>
  <c r="O48"/>
  <c r="BB48"/>
  <c r="H49"/>
  <c r="J49"/>
  <c r="L49"/>
  <c r="O49"/>
  <c r="BB49"/>
  <c r="H50"/>
  <c r="J50"/>
  <c r="L50"/>
  <c r="O50"/>
  <c r="BB50"/>
  <c r="H51"/>
  <c r="J51"/>
  <c r="L51"/>
  <c r="O51"/>
  <c r="BB51"/>
  <c r="H53"/>
  <c r="J53"/>
  <c r="L53"/>
  <c r="O53"/>
  <c r="BB53"/>
  <c r="H54"/>
  <c r="J54"/>
  <c r="L54"/>
  <c r="O54"/>
  <c r="BB54"/>
  <c r="H55"/>
  <c r="J55"/>
  <c r="L55"/>
  <c r="O55"/>
  <c r="BB55"/>
  <c r="H56"/>
  <c r="J56"/>
  <c r="L56"/>
  <c r="O56"/>
  <c r="BB56"/>
  <c r="H57"/>
  <c r="J57"/>
  <c r="L57"/>
  <c r="O57"/>
  <c r="BB57"/>
  <c r="H58"/>
  <c r="J58"/>
  <c r="L58"/>
  <c r="O58"/>
  <c r="BB58"/>
  <c r="H59"/>
  <c r="J59"/>
  <c r="L59"/>
  <c r="O59"/>
  <c r="BB59"/>
  <c r="H60"/>
  <c r="J60"/>
  <c r="L60"/>
  <c r="O60"/>
  <c r="BB60"/>
  <c r="H61"/>
  <c r="J61"/>
  <c r="L61"/>
  <c r="O61"/>
  <c r="BB61"/>
  <c r="H62"/>
  <c r="J62"/>
  <c r="L62"/>
  <c r="O62"/>
  <c r="BB62"/>
  <c r="H63"/>
  <c r="J63"/>
  <c r="L63"/>
  <c r="O63"/>
  <c r="BB63"/>
  <c r="H64"/>
  <c r="J64"/>
  <c r="L64"/>
  <c r="O64"/>
  <c r="BB64"/>
  <c r="H65"/>
  <c r="J65"/>
  <c r="L65"/>
  <c r="O65"/>
  <c r="BB65"/>
  <c r="H66"/>
  <c r="J66"/>
  <c r="L66"/>
  <c r="O66"/>
  <c r="BB66"/>
  <c r="H67"/>
  <c r="J67"/>
  <c r="L67"/>
  <c r="O67"/>
  <c r="BB67"/>
  <c r="H68"/>
  <c r="J68"/>
  <c r="L68"/>
  <c r="O68"/>
  <c r="BB68"/>
  <c r="H69"/>
  <c r="J69"/>
  <c r="L69"/>
  <c r="O69"/>
  <c r="BB69"/>
  <c r="H70"/>
  <c r="J70"/>
  <c r="L70"/>
  <c r="O70"/>
  <c r="BB70"/>
  <c r="H78"/>
  <c r="J78"/>
  <c r="L78"/>
  <c r="O78"/>
  <c r="BB78"/>
  <c r="H98"/>
  <c r="J98"/>
  <c r="L98"/>
  <c r="O98"/>
  <c r="BB98"/>
  <c r="H96"/>
  <c r="J96"/>
  <c r="L96"/>
  <c r="O96"/>
  <c r="BB96"/>
  <c r="AL79"/>
  <c r="AM17"/>
  <c r="AR17"/>
  <c r="AV123"/>
  <c r="AM94"/>
  <c r="AR94"/>
  <c r="AV38"/>
  <c r="AM100"/>
  <c r="AR100"/>
  <c r="AV19"/>
  <c r="AV102"/>
  <c r="AV33"/>
  <c r="AM93"/>
  <c r="AR93"/>
  <c r="AV125"/>
  <c r="AM125"/>
  <c r="AM101"/>
  <c r="AV45"/>
  <c r="AM45"/>
  <c r="AR45"/>
  <c r="AV124"/>
  <c r="AM124"/>
  <c r="AR124"/>
  <c r="AV126"/>
  <c r="AM126"/>
  <c r="AM92"/>
  <c r="AR92"/>
  <c r="AV84"/>
  <c r="AM73"/>
  <c r="AR73"/>
  <c r="AM44"/>
  <c r="AM30"/>
  <c r="AM103"/>
  <c r="AR103"/>
  <c r="AM113"/>
  <c r="AV62"/>
  <c r="AM62"/>
  <c r="AR62"/>
  <c r="AM104"/>
  <c r="AM111"/>
  <c r="AR111"/>
  <c r="AV64"/>
  <c r="AV135"/>
  <c r="S90"/>
  <c r="AM43"/>
  <c r="AR43"/>
  <c r="AR125"/>
  <c r="AR82"/>
  <c r="AV23"/>
  <c r="AM87"/>
  <c r="AR87"/>
  <c r="AV57"/>
  <c r="AM119"/>
  <c r="AR119"/>
  <c r="AM76"/>
  <c r="AR76"/>
  <c r="AV133"/>
  <c r="AM66"/>
  <c r="AM118"/>
  <c r="AR118"/>
  <c r="AM115"/>
  <c r="AR115"/>
  <c r="AM21"/>
  <c r="AR21"/>
  <c r="AM59"/>
  <c r="AM55"/>
  <c r="AR57"/>
  <c r="U88"/>
  <c r="W88"/>
  <c r="AL143"/>
  <c r="AV130"/>
  <c r="S132"/>
  <c r="AL144"/>
  <c r="AM144"/>
  <c r="AR144"/>
  <c r="AM112"/>
  <c r="AM80"/>
  <c r="AR31"/>
  <c r="S104"/>
  <c r="U104"/>
  <c r="U72"/>
  <c r="AV27"/>
  <c r="AV31"/>
  <c r="AR96"/>
  <c r="AM81"/>
  <c r="AM132"/>
  <c r="AR132"/>
  <c r="AV39"/>
  <c r="AV29"/>
  <c r="AV74"/>
  <c r="AV122"/>
  <c r="S121"/>
  <c r="AR104"/>
  <c r="U103"/>
  <c r="W103"/>
  <c r="AV129"/>
  <c r="AM48"/>
  <c r="AR48"/>
  <c r="AR75"/>
  <c r="AM54"/>
  <c r="AR54"/>
  <c r="AV114"/>
  <c r="AM114"/>
  <c r="AR114"/>
  <c r="S116"/>
  <c r="U124"/>
  <c r="W124"/>
  <c r="AM20"/>
  <c r="AR20"/>
  <c r="AV20"/>
  <c r="X82"/>
  <c r="AM83"/>
  <c r="AR83"/>
  <c r="AV83"/>
  <c r="AM121"/>
  <c r="AR121"/>
  <c r="AV121"/>
  <c r="S122"/>
  <c r="U122"/>
  <c r="W122"/>
  <c r="AV90"/>
  <c r="AM90"/>
  <c r="AR90"/>
  <c r="AM97"/>
  <c r="AR97"/>
  <c r="AV97"/>
  <c r="S106"/>
  <c r="AV106"/>
  <c r="AM106"/>
  <c r="AR106"/>
  <c r="S125"/>
  <c r="U125"/>
  <c r="AR38"/>
  <c r="AV58"/>
  <c r="AV71"/>
  <c r="AM71"/>
  <c r="AV85"/>
  <c r="AM85"/>
  <c r="AR85"/>
  <c r="AM86"/>
  <c r="AR86"/>
  <c r="AV86"/>
  <c r="AV131"/>
  <c r="AM131"/>
  <c r="AR131"/>
  <c r="S133"/>
  <c r="U133"/>
  <c r="W133"/>
  <c r="S92"/>
  <c r="U128"/>
  <c r="W128"/>
  <c r="AR30"/>
  <c r="AV41"/>
  <c r="AM41"/>
  <c r="AM50"/>
  <c r="AV50"/>
  <c r="AM61"/>
  <c r="AR61"/>
  <c r="AV61"/>
  <c r="AV68"/>
  <c r="AM68"/>
  <c r="AR68"/>
  <c r="U52"/>
  <c r="AV72"/>
  <c r="AM72"/>
  <c r="AR72"/>
  <c r="S115"/>
  <c r="U115"/>
  <c r="W115"/>
  <c r="U86"/>
  <c r="S134"/>
  <c r="S73"/>
  <c r="S74"/>
  <c r="U74"/>
  <c r="W74"/>
  <c r="AV116"/>
  <c r="AM116"/>
  <c r="AR116"/>
  <c r="S117"/>
  <c r="AV15"/>
  <c r="AM15"/>
  <c r="AV120"/>
  <c r="AM120"/>
  <c r="AR120"/>
  <c r="AM26"/>
  <c r="AR26"/>
  <c r="AV26"/>
  <c r="AM18"/>
  <c r="AR18"/>
  <c r="AV18"/>
  <c r="AR19"/>
  <c r="U79"/>
  <c r="S130"/>
  <c r="U130"/>
  <c r="W130"/>
  <c r="U121"/>
  <c r="AV36"/>
  <c r="AM36"/>
  <c r="AR36"/>
  <c r="AV47"/>
  <c r="AM47"/>
  <c r="AR47"/>
  <c r="AM51"/>
  <c r="AR51"/>
  <c r="AV51"/>
  <c r="AV69"/>
  <c r="AM69"/>
  <c r="AR69"/>
  <c r="AM24"/>
  <c r="AR24"/>
  <c r="U107"/>
  <c r="AM128"/>
  <c r="AR128"/>
  <c r="AV128"/>
  <c r="U150"/>
  <c r="W150"/>
  <c r="AR133"/>
  <c r="S27"/>
  <c r="S25"/>
  <c r="U26"/>
  <c r="S93"/>
  <c r="AR14"/>
  <c r="AV144"/>
  <c r="X103"/>
  <c r="X88"/>
  <c r="W125"/>
  <c r="X150"/>
  <c r="X74"/>
  <c r="U93"/>
  <c r="W93"/>
  <c r="X133"/>
  <c r="X124"/>
  <c r="W121"/>
  <c r="X121"/>
  <c r="X128"/>
  <c r="X130"/>
  <c r="U73"/>
  <c r="W73"/>
  <c r="X115"/>
  <c r="X122"/>
  <c r="AA103"/>
  <c r="Z103"/>
  <c r="AB103"/>
  <c r="AA115"/>
  <c r="Z115"/>
  <c r="AA130"/>
  <c r="Z130"/>
  <c r="AB130"/>
  <c r="X73"/>
  <c r="Z74"/>
  <c r="AB74"/>
  <c r="AA74"/>
  <c r="Z122"/>
  <c r="AB122"/>
  <c r="AE122"/>
  <c r="AA122"/>
  <c r="AA128"/>
  <c r="Z128"/>
  <c r="AB128"/>
  <c r="AE128"/>
  <c r="AA121"/>
  <c r="AB121"/>
  <c r="AE121"/>
  <c r="Z121"/>
  <c r="AB115"/>
  <c r="AC115"/>
  <c r="AD128"/>
  <c r="AE103"/>
  <c r="AD103"/>
  <c r="AC122"/>
  <c r="BI121"/>
  <c r="Z73"/>
  <c r="AA73"/>
  <c r="AC130"/>
  <c r="AE115"/>
  <c r="BI130"/>
  <c r="AC128"/>
  <c r="BH128"/>
  <c r="E129" i="55"/>
  <c r="BI115" i="56"/>
  <c r="AD115"/>
  <c r="BH115"/>
  <c r="E116" i="55"/>
  <c r="AC121" i="56"/>
  <c r="AD121"/>
  <c r="AD122"/>
  <c r="BH122"/>
  <c r="E123" i="55"/>
  <c r="BI122" i="56"/>
  <c r="BH121"/>
  <c r="BK122"/>
  <c r="G123" i="55"/>
  <c r="BJ122" i="56"/>
  <c r="F123" i="55"/>
  <c r="BJ121" i="56"/>
  <c r="F122" i="55"/>
  <c r="E122"/>
  <c r="BI74" i="56"/>
  <c r="AC74"/>
  <c r="BH74"/>
  <c r="AE74"/>
  <c r="AD74"/>
  <c r="U90"/>
  <c r="W90"/>
  <c r="X90"/>
  <c r="S96"/>
  <c r="U69"/>
  <c r="W69"/>
  <c r="S69"/>
  <c r="X69"/>
  <c r="S62"/>
  <c r="U62"/>
  <c r="S60"/>
  <c r="U60"/>
  <c r="W60"/>
  <c r="S59"/>
  <c r="U59"/>
  <c r="S58"/>
  <c r="X58"/>
  <c r="U58"/>
  <c r="W58"/>
  <c r="U57"/>
  <c r="W57"/>
  <c r="S57"/>
  <c r="X57"/>
  <c r="S55"/>
  <c r="X51"/>
  <c r="S47"/>
  <c r="U47"/>
  <c r="S45"/>
  <c r="U45"/>
  <c r="W45"/>
  <c r="S43"/>
  <c r="U43"/>
  <c r="W43"/>
  <c r="S39"/>
  <c r="X39"/>
  <c r="U37"/>
  <c r="W37"/>
  <c r="S37"/>
  <c r="X37"/>
  <c r="S36"/>
  <c r="X36"/>
  <c r="U36"/>
  <c r="W36"/>
  <c r="S33"/>
  <c r="U33"/>
  <c r="S32"/>
  <c r="X30"/>
  <c r="S30"/>
  <c r="S29"/>
  <c r="U29"/>
  <c r="S28"/>
  <c r="U28"/>
  <c r="W28"/>
  <c r="U16"/>
  <c r="W16"/>
  <c r="X16"/>
  <c r="S16"/>
  <c r="U99"/>
  <c r="W99"/>
  <c r="S99"/>
  <c r="X99"/>
  <c r="S100"/>
  <c r="U100"/>
  <c r="W100"/>
  <c r="S101"/>
  <c r="U101"/>
  <c r="AV42"/>
  <c r="AM42"/>
  <c r="AR42"/>
  <c r="AR99"/>
  <c r="U114"/>
  <c r="W114"/>
  <c r="S114"/>
  <c r="S19"/>
  <c r="U19"/>
  <c r="AM138"/>
  <c r="AR138"/>
  <c r="AV138"/>
  <c r="S140"/>
  <c r="S144"/>
  <c r="X144"/>
  <c r="U144"/>
  <c r="W144"/>
  <c r="S109"/>
  <c r="U109"/>
  <c r="W109"/>
  <c r="AV150"/>
  <c r="AM150"/>
  <c r="AR150"/>
  <c r="U152"/>
  <c r="W152"/>
  <c r="S152"/>
  <c r="X152"/>
  <c r="AA150"/>
  <c r="Z150"/>
  <c r="AB150"/>
  <c r="AM79"/>
  <c r="AR79"/>
  <c r="AV79"/>
  <c r="S98"/>
  <c r="X98"/>
  <c r="U98"/>
  <c r="W98"/>
  <c r="S78"/>
  <c r="U78"/>
  <c r="S70"/>
  <c r="S68"/>
  <c r="U68"/>
  <c r="S66"/>
  <c r="U66"/>
  <c r="S64"/>
  <c r="U64"/>
  <c r="W64"/>
  <c r="U63"/>
  <c r="W63"/>
  <c r="S63"/>
  <c r="X63"/>
  <c r="U61"/>
  <c r="W61"/>
  <c r="X61"/>
  <c r="S61"/>
  <c r="X56"/>
  <c r="S54"/>
  <c r="X54"/>
  <c r="U54"/>
  <c r="W54"/>
  <c r="S53"/>
  <c r="X53"/>
  <c r="U53"/>
  <c r="W53"/>
  <c r="X50"/>
  <c r="S50"/>
  <c r="U50"/>
  <c r="W50"/>
  <c r="S49"/>
  <c r="X49"/>
  <c r="U49"/>
  <c r="W49"/>
  <c r="S41"/>
  <c r="U41"/>
  <c r="W41"/>
  <c r="U40"/>
  <c r="W40"/>
  <c r="S40"/>
  <c r="S38"/>
  <c r="S17"/>
  <c r="U17"/>
  <c r="U110"/>
  <c r="W110"/>
  <c r="X110"/>
  <c r="S110"/>
  <c r="U111"/>
  <c r="W111"/>
  <c r="S111"/>
  <c r="X111"/>
  <c r="AV32"/>
  <c r="AM32"/>
  <c r="AR32"/>
  <c r="AV35"/>
  <c r="AM35"/>
  <c r="AR35"/>
  <c r="AM46"/>
  <c r="AR46"/>
  <c r="AV46"/>
  <c r="AM53"/>
  <c r="AR53"/>
  <c r="AV53"/>
  <c r="S112"/>
  <c r="U112"/>
  <c r="U113"/>
  <c r="W113"/>
  <c r="S113"/>
  <c r="S139"/>
  <c r="X139"/>
  <c r="U146"/>
  <c r="W146"/>
  <c r="S146"/>
  <c r="W108"/>
  <c r="X108"/>
  <c r="AM109"/>
  <c r="AR109"/>
  <c r="AV109"/>
  <c r="S94"/>
  <c r="U94"/>
  <c r="W94"/>
  <c r="U14"/>
  <c r="W14"/>
  <c r="S14"/>
  <c r="X14"/>
  <c r="S18"/>
  <c r="U18"/>
  <c r="W18"/>
  <c r="S81"/>
  <c r="U81"/>
  <c r="W81"/>
  <c r="S84"/>
  <c r="X84"/>
  <c r="AA124"/>
  <c r="BJ115"/>
  <c r="F116" i="55"/>
  <c r="BK121" i="56"/>
  <c r="G122" i="55"/>
  <c r="Z124" i="56"/>
  <c r="AB124"/>
  <c r="U46"/>
  <c r="W46"/>
  <c r="W79"/>
  <c r="X79"/>
  <c r="U84"/>
  <c r="W84"/>
  <c r="S22"/>
  <c r="X22"/>
  <c r="U22"/>
  <c r="W22"/>
  <c r="S95"/>
  <c r="U95"/>
  <c r="AM91"/>
  <c r="AR91"/>
  <c r="AV91"/>
  <c r="AV127"/>
  <c r="AM127"/>
  <c r="AR127"/>
  <c r="AM137"/>
  <c r="AR137"/>
  <c r="AV137"/>
  <c r="U138"/>
  <c r="W138"/>
  <c r="S138"/>
  <c r="X138"/>
  <c r="AB73"/>
  <c r="AD130"/>
  <c r="BH130"/>
  <c r="AE130"/>
  <c r="U134"/>
  <c r="W134"/>
  <c r="Z133"/>
  <c r="AB133"/>
  <c r="AM52"/>
  <c r="AR52"/>
  <c r="AV52"/>
  <c r="AM22"/>
  <c r="AR22"/>
  <c r="AV22"/>
  <c r="U23"/>
  <c r="W23"/>
  <c r="S23"/>
  <c r="X23"/>
  <c r="S24"/>
  <c r="BI128"/>
  <c r="BJ128"/>
  <c r="F129" i="55"/>
  <c r="AA133" i="56"/>
  <c r="W26"/>
  <c r="X26"/>
  <c r="W86"/>
  <c r="X86"/>
  <c r="W52"/>
  <c r="X52"/>
  <c r="AR50"/>
  <c r="AA82"/>
  <c r="Z82"/>
  <c r="AB82"/>
  <c r="AA88"/>
  <c r="Z88"/>
  <c r="AB88"/>
  <c r="AC103"/>
  <c r="BH103"/>
  <c r="BI103"/>
  <c r="W72"/>
  <c r="X72"/>
  <c r="U132"/>
  <c r="W132"/>
  <c r="X93"/>
  <c r="W107"/>
  <c r="X107"/>
  <c r="U92"/>
  <c r="W92"/>
  <c r="X92"/>
  <c r="X125"/>
  <c r="W104"/>
  <c r="X104"/>
  <c r="AM28"/>
  <c r="AR28"/>
  <c r="AV28"/>
  <c r="AV37"/>
  <c r="AM37"/>
  <c r="AR37"/>
  <c r="AV40"/>
  <c r="AM40"/>
  <c r="AR40"/>
  <c r="AM117"/>
  <c r="AR117"/>
  <c r="AV117"/>
  <c r="S119"/>
  <c r="U119"/>
  <c r="W119"/>
  <c r="X119"/>
  <c r="S126"/>
  <c r="U126"/>
  <c r="W126"/>
  <c r="U25"/>
  <c r="S91"/>
  <c r="U91"/>
  <c r="W91"/>
  <c r="X91"/>
  <c r="S97"/>
  <c r="U106"/>
  <c r="W106"/>
  <c r="S129"/>
  <c r="U129"/>
  <c r="W129"/>
  <c r="X149"/>
  <c r="S20"/>
  <c r="S80"/>
  <c r="U80"/>
  <c r="W80"/>
  <c r="X80"/>
  <c r="S44"/>
  <c r="U44"/>
  <c r="W44"/>
  <c r="S83"/>
  <c r="U83"/>
  <c r="W83"/>
  <c r="S102"/>
  <c r="U102"/>
  <c r="W102"/>
  <c r="AM95"/>
  <c r="AR95"/>
  <c r="AV95"/>
  <c r="S71"/>
  <c r="U85"/>
  <c r="W85"/>
  <c r="S75"/>
  <c r="U75"/>
  <c r="W75"/>
  <c r="S76"/>
  <c r="U76"/>
  <c r="W76"/>
  <c r="U27"/>
  <c r="W27"/>
  <c r="U116"/>
  <c r="W116"/>
  <c r="U117"/>
  <c r="AR71"/>
  <c r="S67"/>
  <c r="U67"/>
  <c r="S65"/>
  <c r="X65"/>
  <c r="U65"/>
  <c r="W65"/>
  <c r="S56"/>
  <c r="U56"/>
  <c r="W56"/>
  <c r="U51"/>
  <c r="W51"/>
  <c r="S51"/>
  <c r="S48"/>
  <c r="S46"/>
  <c r="U42"/>
  <c r="W42"/>
  <c r="S42"/>
  <c r="X42"/>
  <c r="U39"/>
  <c r="W39"/>
  <c r="S35"/>
  <c r="U35"/>
  <c r="S34"/>
  <c r="U34"/>
  <c r="S31"/>
  <c r="U30"/>
  <c r="W30"/>
  <c r="S15"/>
  <c r="AR33"/>
  <c r="AR67"/>
  <c r="AR110"/>
  <c r="S85"/>
  <c r="X85"/>
  <c r="S87"/>
  <c r="U87"/>
  <c r="W87"/>
  <c r="S135"/>
  <c r="U135"/>
  <c r="W135"/>
  <c r="S123"/>
  <c r="U123"/>
  <c r="W123"/>
  <c r="X123"/>
  <c r="AR112"/>
  <c r="AM143"/>
  <c r="AR143"/>
  <c r="AV143"/>
  <c r="AR55"/>
  <c r="AV89"/>
  <c r="AM89"/>
  <c r="AR89"/>
  <c r="S131"/>
  <c r="U131"/>
  <c r="W131"/>
  <c r="S118"/>
  <c r="AV25"/>
  <c r="AM25"/>
  <c r="AR25"/>
  <c r="S127"/>
  <c r="U127"/>
  <c r="S137"/>
  <c r="U137"/>
  <c r="U139"/>
  <c r="W139"/>
  <c r="S143"/>
  <c r="U143"/>
  <c r="W143"/>
  <c r="S145"/>
  <c r="S105"/>
  <c r="U105"/>
  <c r="W105"/>
  <c r="AR80"/>
  <c r="AR113"/>
  <c r="AR44"/>
  <c r="AM16"/>
  <c r="AR16"/>
  <c r="AV16"/>
  <c r="AR29"/>
  <c r="AV34"/>
  <c r="AM34"/>
  <c r="AR34"/>
  <c r="AR102"/>
  <c r="AM88"/>
  <c r="AR88"/>
  <c r="AV88"/>
  <c r="S89"/>
  <c r="U89"/>
  <c r="W89"/>
  <c r="U120"/>
  <c r="S77"/>
  <c r="AM105"/>
  <c r="AR105"/>
  <c r="AV105"/>
  <c r="S21"/>
  <c r="U21"/>
  <c r="S149"/>
  <c r="U149"/>
  <c r="W149"/>
  <c r="AL149"/>
  <c r="S151"/>
  <c r="W127"/>
  <c r="X127"/>
  <c r="W34"/>
  <c r="X34"/>
  <c r="W67"/>
  <c r="X67"/>
  <c r="AD82"/>
  <c r="BI82"/>
  <c r="AE82"/>
  <c r="AC82"/>
  <c r="BH82"/>
  <c r="Z138"/>
  <c r="AB138"/>
  <c r="AA138"/>
  <c r="W95"/>
  <c r="X95"/>
  <c r="W17"/>
  <c r="X17"/>
  <c r="W68"/>
  <c r="X68"/>
  <c r="Z98"/>
  <c r="AB98"/>
  <c r="AA98"/>
  <c r="Z144"/>
  <c r="AB144"/>
  <c r="AA144"/>
  <c r="W19"/>
  <c r="X19"/>
  <c r="Z99"/>
  <c r="AB99"/>
  <c r="AA99"/>
  <c r="W21"/>
  <c r="X21"/>
  <c r="Z85"/>
  <c r="AB85"/>
  <c r="AA85"/>
  <c r="W35"/>
  <c r="X35"/>
  <c r="W112"/>
  <c r="X112"/>
  <c r="X38"/>
  <c r="AA58"/>
  <c r="Z58"/>
  <c r="AB58"/>
  <c r="W62"/>
  <c r="X62"/>
  <c r="X151"/>
  <c r="X48"/>
  <c r="AA104"/>
  <c r="Z104"/>
  <c r="AB104"/>
  <c r="Z22"/>
  <c r="AB22"/>
  <c r="AA22"/>
  <c r="AA139"/>
  <c r="AB139"/>
  <c r="Z139"/>
  <c r="AA49"/>
  <c r="Z49"/>
  <c r="AB49"/>
  <c r="AA54"/>
  <c r="Z54"/>
  <c r="AB54"/>
  <c r="W78"/>
  <c r="X78"/>
  <c r="W101"/>
  <c r="X101"/>
  <c r="X32"/>
  <c r="Z39"/>
  <c r="AB39"/>
  <c r="AA39"/>
  <c r="W47"/>
  <c r="X47"/>
  <c r="W59"/>
  <c r="X59"/>
  <c r="AA69"/>
  <c r="AB69"/>
  <c r="Z69"/>
  <c r="X145"/>
  <c r="W137"/>
  <c r="X137"/>
  <c r="Z42"/>
  <c r="AB42"/>
  <c r="AA42"/>
  <c r="Z65"/>
  <c r="AA65"/>
  <c r="AB65"/>
  <c r="AC133"/>
  <c r="BH133"/>
  <c r="AE133"/>
  <c r="BI133"/>
  <c r="AD133"/>
  <c r="AC124"/>
  <c r="BI124"/>
  <c r="AE124"/>
  <c r="AD124"/>
  <c r="BH124"/>
  <c r="Z63"/>
  <c r="AB63"/>
  <c r="AA63"/>
  <c r="W66"/>
  <c r="X66"/>
  <c r="AC150"/>
  <c r="AE150"/>
  <c r="AD150"/>
  <c r="W29"/>
  <c r="X29"/>
  <c r="W33"/>
  <c r="X33"/>
  <c r="U145"/>
  <c r="W145"/>
  <c r="X89"/>
  <c r="X20"/>
  <c r="Z91"/>
  <c r="AA91"/>
  <c r="AB91"/>
  <c r="U118"/>
  <c r="W118"/>
  <c r="AA92"/>
  <c r="Z92"/>
  <c r="AB92"/>
  <c r="Z93"/>
  <c r="AB93"/>
  <c r="AA93"/>
  <c r="AA72"/>
  <c r="Z72"/>
  <c r="AB72"/>
  <c r="AC88"/>
  <c r="AD88"/>
  <c r="BH88"/>
  <c r="BI88"/>
  <c r="AE88"/>
  <c r="Z86"/>
  <c r="AB86"/>
  <c r="AA86"/>
  <c r="Z84"/>
  <c r="AA84"/>
  <c r="AB84"/>
  <c r="X81"/>
  <c r="X146"/>
  <c r="U31"/>
  <c r="W31"/>
  <c r="X41"/>
  <c r="X46"/>
  <c r="Z53"/>
  <c r="AA53"/>
  <c r="AB53"/>
  <c r="Z56"/>
  <c r="AA56"/>
  <c r="AB56"/>
  <c r="U70"/>
  <c r="W70"/>
  <c r="X105"/>
  <c r="U140"/>
  <c r="W140"/>
  <c r="X114"/>
  <c r="U15"/>
  <c r="W15"/>
  <c r="Z36"/>
  <c r="AB36"/>
  <c r="AA36"/>
  <c r="X45"/>
  <c r="U48"/>
  <c r="W48"/>
  <c r="W120"/>
  <c r="X120"/>
  <c r="U77"/>
  <c r="W77"/>
  <c r="X135"/>
  <c r="U38"/>
  <c r="W38"/>
  <c r="X27"/>
  <c r="U71"/>
  <c r="W71"/>
  <c r="X102"/>
  <c r="X44"/>
  <c r="U20"/>
  <c r="W20"/>
  <c r="X106"/>
  <c r="U24"/>
  <c r="W24"/>
  <c r="X113"/>
  <c r="X94"/>
  <c r="X109"/>
  <c r="X100"/>
  <c r="U32"/>
  <c r="W32"/>
  <c r="U55"/>
  <c r="W55"/>
  <c r="U96"/>
  <c r="W96"/>
  <c r="X131"/>
  <c r="AA123"/>
  <c r="Z123"/>
  <c r="AB123"/>
  <c r="W117"/>
  <c r="X117"/>
  <c r="X75"/>
  <c r="AB80"/>
  <c r="Z80"/>
  <c r="AA80"/>
  <c r="Z149"/>
  <c r="AB149"/>
  <c r="AA149"/>
  <c r="X97"/>
  <c r="W25"/>
  <c r="X25"/>
  <c r="Z119"/>
  <c r="AA119"/>
  <c r="AB119"/>
  <c r="Z107"/>
  <c r="AB107"/>
  <c r="AC107"/>
  <c r="AA107"/>
  <c r="AA52"/>
  <c r="Z52"/>
  <c r="AB52"/>
  <c r="Z26"/>
  <c r="AA26"/>
  <c r="AB26"/>
  <c r="AA23"/>
  <c r="Z23"/>
  <c r="AB23"/>
  <c r="BJ130"/>
  <c r="F131" i="55"/>
  <c r="BK130" i="56"/>
  <c r="G131" i="55"/>
  <c r="E131"/>
  <c r="AA79" i="56"/>
  <c r="Z79"/>
  <c r="AB79"/>
  <c r="U151"/>
  <c r="W151"/>
  <c r="AA14"/>
  <c r="AB14"/>
  <c r="Z14"/>
  <c r="AA108"/>
  <c r="Z108"/>
  <c r="AB108"/>
  <c r="AC108"/>
  <c r="AA111"/>
  <c r="Z111"/>
  <c r="AB111"/>
  <c r="AA110"/>
  <c r="AB110"/>
  <c r="Z110"/>
  <c r="AA50"/>
  <c r="AB50"/>
  <c r="Z50"/>
  <c r="Z61"/>
  <c r="AA61"/>
  <c r="AB61"/>
  <c r="AA152"/>
  <c r="Z152"/>
  <c r="AB152"/>
  <c r="AC152"/>
  <c r="Z16"/>
  <c r="AB16"/>
  <c r="AA16"/>
  <c r="AA30"/>
  <c r="AB30"/>
  <c r="Z30"/>
  <c r="Z37"/>
  <c r="AA37"/>
  <c r="AB37"/>
  <c r="AA51"/>
  <c r="Z51"/>
  <c r="AB51"/>
  <c r="AB57"/>
  <c r="AA57"/>
  <c r="Z57"/>
  <c r="AA90"/>
  <c r="Z90"/>
  <c r="AB90"/>
  <c r="E77" i="55"/>
  <c r="BK74" i="56"/>
  <c r="G77" i="55"/>
  <c r="BJ74" i="56"/>
  <c r="F77" i="55"/>
  <c r="AM149" i="56"/>
  <c r="AR149"/>
  <c r="AV149"/>
  <c r="X143"/>
  <c r="X87"/>
  <c r="X116"/>
  <c r="X76"/>
  <c r="X83"/>
  <c r="X129"/>
  <c r="U97"/>
  <c r="W97"/>
  <c r="X126"/>
  <c r="AA125"/>
  <c r="AB125"/>
  <c r="Z125"/>
  <c r="X132"/>
  <c r="E106" i="55"/>
  <c r="BK103" i="56"/>
  <c r="G106" i="55"/>
  <c r="BJ103" i="56"/>
  <c r="F106" i="55"/>
  <c r="X134" i="56"/>
  <c r="AC73"/>
  <c r="BH73"/>
  <c r="BI73"/>
  <c r="AE73"/>
  <c r="AD73"/>
  <c r="X28"/>
  <c r="X18"/>
  <c r="X40"/>
  <c r="X64"/>
  <c r="X43"/>
  <c r="X60"/>
  <c r="AC51"/>
  <c r="BI51"/>
  <c r="AD51"/>
  <c r="BH51"/>
  <c r="AE51"/>
  <c r="BI36"/>
  <c r="AE36"/>
  <c r="AC36"/>
  <c r="AD36"/>
  <c r="BH36"/>
  <c r="BI72"/>
  <c r="AC72"/>
  <c r="BH72"/>
  <c r="AD72"/>
  <c r="AE72"/>
  <c r="AC65"/>
  <c r="AE65"/>
  <c r="BI65"/>
  <c r="AD65"/>
  <c r="BH65"/>
  <c r="AC69"/>
  <c r="BI69"/>
  <c r="AD69"/>
  <c r="BH69"/>
  <c r="AE69"/>
  <c r="BI98"/>
  <c r="AE98"/>
  <c r="AD98"/>
  <c r="AC98"/>
  <c r="BH98"/>
  <c r="AD37"/>
  <c r="BI37"/>
  <c r="AC37"/>
  <c r="AE37"/>
  <c r="BH37"/>
  <c r="AE111"/>
  <c r="BI111"/>
  <c r="AD111"/>
  <c r="BH111"/>
  <c r="AC111"/>
  <c r="AE79"/>
  <c r="AD79"/>
  <c r="BI79"/>
  <c r="AC79"/>
  <c r="BH79"/>
  <c r="Z117"/>
  <c r="AB117"/>
  <c r="AA117"/>
  <c r="AD56"/>
  <c r="AE56"/>
  <c r="BI56"/>
  <c r="AC56"/>
  <c r="BH56"/>
  <c r="BK88"/>
  <c r="G91" i="55"/>
  <c r="E91"/>
  <c r="BJ88" i="56"/>
  <c r="F91" i="55"/>
  <c r="AE63" i="56"/>
  <c r="AD63"/>
  <c r="BH63"/>
  <c r="BI63"/>
  <c r="AC63"/>
  <c r="BI58"/>
  <c r="AC58"/>
  <c r="AD58"/>
  <c r="AE58"/>
  <c r="BH58"/>
  <c r="BI85"/>
  <c r="AC85"/>
  <c r="AE85"/>
  <c r="BH85"/>
  <c r="AD85"/>
  <c r="AE99"/>
  <c r="AC99"/>
  <c r="BI99"/>
  <c r="AD99"/>
  <c r="BH99"/>
  <c r="AD144"/>
  <c r="AC144"/>
  <c r="AE144"/>
  <c r="AC90"/>
  <c r="BH90"/>
  <c r="AE90"/>
  <c r="AD90"/>
  <c r="BI90"/>
  <c r="AE16"/>
  <c r="AD16"/>
  <c r="BH16"/>
  <c r="BI16"/>
  <c r="AC16"/>
  <c r="BI50"/>
  <c r="AE50"/>
  <c r="AC50"/>
  <c r="AD50"/>
  <c r="BH50"/>
  <c r="AE123"/>
  <c r="AD123"/>
  <c r="BI123"/>
  <c r="AC123"/>
  <c r="BH123"/>
  <c r="AD86"/>
  <c r="AE86"/>
  <c r="BI86"/>
  <c r="AC86"/>
  <c r="BH86"/>
  <c r="BI93"/>
  <c r="BH93"/>
  <c r="AE93"/>
  <c r="AD93"/>
  <c r="AC93"/>
  <c r="Z29"/>
  <c r="AB29"/>
  <c r="AA29"/>
  <c r="BJ133"/>
  <c r="F134" i="55"/>
  <c r="E134"/>
  <c r="BK133" i="56"/>
  <c r="G134" i="55"/>
  <c r="Z47" i="56"/>
  <c r="AA47"/>
  <c r="AB47"/>
  <c r="BI22"/>
  <c r="AD22"/>
  <c r="BH22"/>
  <c r="AC22"/>
  <c r="AE22"/>
  <c r="Z17"/>
  <c r="AB17"/>
  <c r="AA17"/>
  <c r="AE138"/>
  <c r="AC138"/>
  <c r="AD138"/>
  <c r="AD53"/>
  <c r="BH53"/>
  <c r="BI53"/>
  <c r="AC53"/>
  <c r="AE53"/>
  <c r="AC91"/>
  <c r="BH91"/>
  <c r="AD91"/>
  <c r="AE91"/>
  <c r="BI91"/>
  <c r="AC104"/>
  <c r="BI104"/>
  <c r="BH104"/>
  <c r="AD104"/>
  <c r="AE104"/>
  <c r="BK82"/>
  <c r="G85" i="55"/>
  <c r="E85"/>
  <c r="BJ82" i="56"/>
  <c r="F85" i="55"/>
  <c r="BK73" i="56"/>
  <c r="G76" i="55"/>
  <c r="BJ73" i="56"/>
  <c r="F76" i="55"/>
  <c r="E76"/>
  <c r="AE30" i="56"/>
  <c r="AC30"/>
  <c r="AD30"/>
  <c r="BH30"/>
  <c r="BI30"/>
  <c r="AC110"/>
  <c r="BH110"/>
  <c r="AD110"/>
  <c r="BI110"/>
  <c r="AE110"/>
  <c r="BI52"/>
  <c r="AE52"/>
  <c r="AC52"/>
  <c r="AD52"/>
  <c r="BH52"/>
  <c r="Z137"/>
  <c r="AB137"/>
  <c r="AA137"/>
  <c r="AC39"/>
  <c r="BH39"/>
  <c r="AD39"/>
  <c r="AE39"/>
  <c r="BI39"/>
  <c r="AA78"/>
  <c r="AB78"/>
  <c r="Z78"/>
  <c r="BI49"/>
  <c r="AD49"/>
  <c r="AE49"/>
  <c r="AC49"/>
  <c r="BH49"/>
  <c r="Z43"/>
  <c r="AB43"/>
  <c r="AA43"/>
  <c r="Z28"/>
  <c r="AB28"/>
  <c r="AA28"/>
  <c r="AD125"/>
  <c r="AC125"/>
  <c r="AE125"/>
  <c r="BI125"/>
  <c r="BH125"/>
  <c r="AA129"/>
  <c r="AB129"/>
  <c r="Z129"/>
  <c r="Z87"/>
  <c r="AB87"/>
  <c r="AA87"/>
  <c r="AC57"/>
  <c r="AE57"/>
  <c r="BI57"/>
  <c r="AD57"/>
  <c r="BH57"/>
  <c r="BI61"/>
  <c r="AE61"/>
  <c r="AC61"/>
  <c r="BH61"/>
  <c r="AD61"/>
  <c r="BI14"/>
  <c r="AE14"/>
  <c r="AC14"/>
  <c r="AD14"/>
  <c r="BH14"/>
  <c r="BI26"/>
  <c r="AC26"/>
  <c r="AE26"/>
  <c r="AD26"/>
  <c r="BH26"/>
  <c r="Z25"/>
  <c r="AB25"/>
  <c r="AA25"/>
  <c r="AE149"/>
  <c r="AC149"/>
  <c r="AD149"/>
  <c r="BI80"/>
  <c r="AE80"/>
  <c r="AD80"/>
  <c r="AC80"/>
  <c r="BH80"/>
  <c r="AA109"/>
  <c r="Z109"/>
  <c r="AB109"/>
  <c r="Z106"/>
  <c r="AB106"/>
  <c r="AA106"/>
  <c r="AA45"/>
  <c r="Z45"/>
  <c r="AB45"/>
  <c r="AA41"/>
  <c r="AB41"/>
  <c r="Z41"/>
  <c r="AD84"/>
  <c r="BI84"/>
  <c r="AE84"/>
  <c r="AC84"/>
  <c r="BH84"/>
  <c r="AA20"/>
  <c r="Z20"/>
  <c r="AB20"/>
  <c r="X77"/>
  <c r="Z66"/>
  <c r="AB66"/>
  <c r="AA66"/>
  <c r="BI42"/>
  <c r="AD42"/>
  <c r="AC42"/>
  <c r="BH42"/>
  <c r="AE42"/>
  <c r="AA32"/>
  <c r="AB32"/>
  <c r="Z32"/>
  <c r="AE139"/>
  <c r="AC139"/>
  <c r="AD139"/>
  <c r="AA48"/>
  <c r="AB48"/>
  <c r="Z48"/>
  <c r="X70"/>
  <c r="AA35"/>
  <c r="AB35"/>
  <c r="Z35"/>
  <c r="X96"/>
  <c r="AA67"/>
  <c r="Z67"/>
  <c r="AB67"/>
  <c r="AA127"/>
  <c r="Z127"/>
  <c r="AB127"/>
  <c r="AA64"/>
  <c r="AB64"/>
  <c r="Z64"/>
  <c r="Z83"/>
  <c r="AA83"/>
  <c r="AB83"/>
  <c r="Z143"/>
  <c r="AA143"/>
  <c r="AB143"/>
  <c r="AE23"/>
  <c r="BI23"/>
  <c r="AC23"/>
  <c r="AD23"/>
  <c r="BH23"/>
  <c r="AD119"/>
  <c r="AC119"/>
  <c r="BH119"/>
  <c r="AE119"/>
  <c r="BI119"/>
  <c r="AA75"/>
  <c r="Z75"/>
  <c r="AB75"/>
  <c r="Z94"/>
  <c r="AB94"/>
  <c r="AA94"/>
  <c r="Z27"/>
  <c r="AB27"/>
  <c r="AA27"/>
  <c r="Z120"/>
  <c r="AB120"/>
  <c r="AA120"/>
  <c r="Z114"/>
  <c r="AA114"/>
  <c r="AB114"/>
  <c r="AC92"/>
  <c r="BH92"/>
  <c r="AE92"/>
  <c r="BI92"/>
  <c r="AD92"/>
  <c r="Z89"/>
  <c r="AA89"/>
  <c r="AB89"/>
  <c r="Z33"/>
  <c r="AB33"/>
  <c r="AA33"/>
  <c r="E125" i="55"/>
  <c r="BJ124" i="56"/>
  <c r="F125" i="55"/>
  <c r="BK124" i="56"/>
  <c r="G125" i="55"/>
  <c r="AA145" i="56"/>
  <c r="AB145"/>
  <c r="Z145"/>
  <c r="AA59"/>
  <c r="Z59"/>
  <c r="AB59"/>
  <c r="AA101"/>
  <c r="AB101"/>
  <c r="Z101"/>
  <c r="AC54"/>
  <c r="BH54"/>
  <c r="BI54"/>
  <c r="AD54"/>
  <c r="AE54"/>
  <c r="AA151"/>
  <c r="Z151"/>
  <c r="AB151"/>
  <c r="Z38"/>
  <c r="AB38"/>
  <c r="AA38"/>
  <c r="X55"/>
  <c r="AA19"/>
  <c r="Z19"/>
  <c r="AB19"/>
  <c r="Z68"/>
  <c r="AB68"/>
  <c r="AA68"/>
  <c r="AA95"/>
  <c r="Z95"/>
  <c r="AB95"/>
  <c r="Z40"/>
  <c r="AB40"/>
  <c r="AA40"/>
  <c r="AA134"/>
  <c r="Z134"/>
  <c r="AB134"/>
  <c r="Z132"/>
  <c r="AB132"/>
  <c r="AA132"/>
  <c r="AA126"/>
  <c r="Z126"/>
  <c r="AB126"/>
  <c r="AA76"/>
  <c r="Z76"/>
  <c r="AB76"/>
  <c r="Z97"/>
  <c r="AB97"/>
  <c r="AA97"/>
  <c r="AA113"/>
  <c r="Z113"/>
  <c r="AB113"/>
  <c r="AA44"/>
  <c r="Z44"/>
  <c r="AB44"/>
  <c r="AA146"/>
  <c r="Z146"/>
  <c r="AB146"/>
  <c r="AC146"/>
  <c r="X118"/>
  <c r="X31"/>
  <c r="Z62"/>
  <c r="AB62"/>
  <c r="AA62"/>
  <c r="AA112"/>
  <c r="Z112"/>
  <c r="AB112"/>
  <c r="X15"/>
  <c r="Z21"/>
  <c r="AA21"/>
  <c r="AB21"/>
  <c r="AA34"/>
  <c r="Z34"/>
  <c r="AB34"/>
  <c r="AA60"/>
  <c r="Z60"/>
  <c r="AB60"/>
  <c r="Z18"/>
  <c r="AA18"/>
  <c r="AB18"/>
  <c r="Z116"/>
  <c r="AB116"/>
  <c r="AA116"/>
  <c r="AA131"/>
  <c r="AB131"/>
  <c r="Z131"/>
  <c r="Z100"/>
  <c r="AB100"/>
  <c r="AA100"/>
  <c r="Z102"/>
  <c r="AB102"/>
  <c r="AA102"/>
  <c r="Z135"/>
  <c r="AB135"/>
  <c r="AA135"/>
  <c r="AA105"/>
  <c r="Z105"/>
  <c r="AB105"/>
  <c r="Z46"/>
  <c r="AB46"/>
  <c r="AA46"/>
  <c r="Z81"/>
  <c r="AA81"/>
  <c r="AB81"/>
  <c r="X24"/>
  <c r="X140"/>
  <c r="X71"/>
  <c r="BI46"/>
  <c r="AC46"/>
  <c r="BH46"/>
  <c r="AE46"/>
  <c r="AD46"/>
  <c r="BI112"/>
  <c r="AD112"/>
  <c r="AE112"/>
  <c r="AC112"/>
  <c r="BH112"/>
  <c r="AE132"/>
  <c r="BI132"/>
  <c r="AC132"/>
  <c r="BH132"/>
  <c r="AD132"/>
  <c r="AC151"/>
  <c r="AE151"/>
  <c r="AD151"/>
  <c r="BH149"/>
  <c r="BI149"/>
  <c r="BI114"/>
  <c r="BH114"/>
  <c r="AC114"/>
  <c r="AE114"/>
  <c r="AD114"/>
  <c r="BI94"/>
  <c r="AC94"/>
  <c r="AD94"/>
  <c r="AE94"/>
  <c r="BH94"/>
  <c r="AE127"/>
  <c r="AD127"/>
  <c r="AC127"/>
  <c r="BH127"/>
  <c r="BI127"/>
  <c r="BI45"/>
  <c r="AE45"/>
  <c r="AC45"/>
  <c r="BH45"/>
  <c r="AD45"/>
  <c r="BJ80"/>
  <c r="F83" i="55"/>
  <c r="BK80" i="56"/>
  <c r="G83" i="55"/>
  <c r="E83"/>
  <c r="AC25" i="56"/>
  <c r="AE25"/>
  <c r="BH25"/>
  <c r="AD25"/>
  <c r="BI25"/>
  <c r="BK49"/>
  <c r="G52" i="55"/>
  <c r="BJ49" i="56"/>
  <c r="E52" i="55"/>
  <c r="BJ52" i="56"/>
  <c r="F55" i="55"/>
  <c r="E55"/>
  <c r="BK52" i="56"/>
  <c r="G55" i="55"/>
  <c r="BJ90" i="56"/>
  <c r="F93" i="55"/>
  <c r="BK90" i="56"/>
  <c r="G93" i="55"/>
  <c r="E93"/>
  <c r="BJ79" i="56"/>
  <c r="BK79"/>
  <c r="G82" i="55"/>
  <c r="E82"/>
  <c r="BJ72" i="56"/>
  <c r="F75" i="55"/>
  <c r="BK72" i="56"/>
  <c r="G75" i="55"/>
  <c r="E75"/>
  <c r="AD105" i="56"/>
  <c r="BI105"/>
  <c r="AC105"/>
  <c r="BH105"/>
  <c r="AE105"/>
  <c r="AC100"/>
  <c r="BH100"/>
  <c r="AE100"/>
  <c r="AD100"/>
  <c r="BI100"/>
  <c r="AC60"/>
  <c r="BH60"/>
  <c r="AD60"/>
  <c r="AE60"/>
  <c r="BI60"/>
  <c r="BI21"/>
  <c r="AD21"/>
  <c r="AE21"/>
  <c r="BH21"/>
  <c r="AC21"/>
  <c r="AE126"/>
  <c r="BI126"/>
  <c r="AD126"/>
  <c r="AC126"/>
  <c r="BH126"/>
  <c r="AE134"/>
  <c r="AC134"/>
  <c r="BH134"/>
  <c r="BI134"/>
  <c r="AD134"/>
  <c r="BK54"/>
  <c r="G57" i="55"/>
  <c r="E57"/>
  <c r="BJ54" i="56"/>
  <c r="F57" i="55"/>
  <c r="AD59" i="56"/>
  <c r="BI59"/>
  <c r="AC59"/>
  <c r="AE59"/>
  <c r="BH59"/>
  <c r="AC143"/>
  <c r="BH143"/>
  <c r="AD143"/>
  <c r="AE143"/>
  <c r="BI143"/>
  <c r="AE28"/>
  <c r="AD28"/>
  <c r="BH28"/>
  <c r="BI28"/>
  <c r="AC28"/>
  <c r="AD78"/>
  <c r="BI78"/>
  <c r="BH78"/>
  <c r="AC78"/>
  <c r="AE78"/>
  <c r="BK39"/>
  <c r="G42" i="55"/>
  <c r="E42"/>
  <c r="BJ39" i="56"/>
  <c r="F42" i="55"/>
  <c r="E33"/>
  <c r="BJ30" i="56"/>
  <c r="F33" i="55"/>
  <c r="E89"/>
  <c r="BJ86" i="56"/>
  <c r="F89" i="55"/>
  <c r="BK86" i="56"/>
  <c r="G89" i="55"/>
  <c r="E124"/>
  <c r="BK123" i="56"/>
  <c r="G124" i="55"/>
  <c r="BJ123" i="56"/>
  <c r="F124" i="55"/>
  <c r="BJ50" i="56"/>
  <c r="F53" i="55"/>
  <c r="E53"/>
  <c r="BK50" i="56"/>
  <c r="G53" i="55"/>
  <c r="BJ63" i="56"/>
  <c r="F66" i="55"/>
  <c r="E66"/>
  <c r="BK63" i="56"/>
  <c r="G66" i="55"/>
  <c r="E112"/>
  <c r="BJ111" i="56"/>
  <c r="F112" i="55"/>
  <c r="BJ98" i="56"/>
  <c r="F101" i="55"/>
  <c r="BK98" i="56"/>
  <c r="G101" i="55"/>
  <c r="E101"/>
  <c r="BI97" i="56"/>
  <c r="AC97"/>
  <c r="BH97"/>
  <c r="AE97"/>
  <c r="AD97"/>
  <c r="AD95"/>
  <c r="AC95"/>
  <c r="BH95"/>
  <c r="BI95"/>
  <c r="AE95"/>
  <c r="AC27"/>
  <c r="BH27"/>
  <c r="AE27"/>
  <c r="AD27"/>
  <c r="BI27"/>
  <c r="E120" i="55"/>
  <c r="BJ119" i="56"/>
  <c r="F120" i="55"/>
  <c r="BK119" i="56"/>
  <c r="G120" i="55"/>
  <c r="AE67" i="56"/>
  <c r="BI67"/>
  <c r="AC67"/>
  <c r="BH67"/>
  <c r="AD67"/>
  <c r="AC20"/>
  <c r="BH20"/>
  <c r="BI20"/>
  <c r="AE20"/>
  <c r="AD20"/>
  <c r="E17" i="55"/>
  <c r="BK14" i="56"/>
  <c r="G17" i="55"/>
  <c r="BJ14" i="56"/>
  <c r="F17" i="55"/>
  <c r="BJ57" i="56"/>
  <c r="F60" i="55"/>
  <c r="E60"/>
  <c r="BK57" i="56"/>
  <c r="G60" i="55"/>
  <c r="E94"/>
  <c r="BK91" i="56"/>
  <c r="G94" i="55"/>
  <c r="BJ91" i="56"/>
  <c r="F94" i="55"/>
  <c r="BK53" i="56"/>
  <c r="G56" i="55"/>
  <c r="BJ53" i="56"/>
  <c r="F56" i="55"/>
  <c r="E56"/>
  <c r="BJ22" i="56"/>
  <c r="F25" i="55"/>
  <c r="BK22" i="56"/>
  <c r="G25" i="55"/>
  <c r="E25"/>
  <c r="E59"/>
  <c r="BJ56" i="56"/>
  <c r="F59" i="55"/>
  <c r="BK56" i="56"/>
  <c r="G59" i="55"/>
  <c r="BJ69" i="56"/>
  <c r="BK69"/>
  <c r="G72" i="55"/>
  <c r="E72"/>
  <c r="BI102" i="56"/>
  <c r="AD102"/>
  <c r="AC102"/>
  <c r="BH102"/>
  <c r="AE102"/>
  <c r="BI131"/>
  <c r="AC131"/>
  <c r="BH131"/>
  <c r="AE131"/>
  <c r="AD131"/>
  <c r="AE18"/>
  <c r="AC18"/>
  <c r="AD18"/>
  <c r="BH18"/>
  <c r="BI18"/>
  <c r="AE34"/>
  <c r="AD34"/>
  <c r="AC34"/>
  <c r="BH34"/>
  <c r="BI34"/>
  <c r="AC62"/>
  <c r="BI62"/>
  <c r="AE62"/>
  <c r="AD62"/>
  <c r="BH62"/>
  <c r="AE113"/>
  <c r="AD113"/>
  <c r="AC113"/>
  <c r="BH113"/>
  <c r="BI113"/>
  <c r="AC76"/>
  <c r="BH76"/>
  <c r="AD76"/>
  <c r="BI76"/>
  <c r="AE76"/>
  <c r="AC19"/>
  <c r="BI19"/>
  <c r="AE19"/>
  <c r="BH19"/>
  <c r="AD19"/>
  <c r="AD38"/>
  <c r="AE38"/>
  <c r="BI38"/>
  <c r="AC38"/>
  <c r="BH38"/>
  <c r="AC64"/>
  <c r="AE64"/>
  <c r="BI64"/>
  <c r="BH64"/>
  <c r="AD64"/>
  <c r="BK42"/>
  <c r="G45" i="55"/>
  <c r="E45"/>
  <c r="BJ42" i="56"/>
  <c r="F45" i="55"/>
  <c r="E64"/>
  <c r="BJ61" i="56"/>
  <c r="BK61"/>
  <c r="G64" i="55"/>
  <c r="AE87" i="56"/>
  <c r="AC87"/>
  <c r="BH87"/>
  <c r="AD87"/>
  <c r="BI87"/>
  <c r="AC43"/>
  <c r="AD43"/>
  <c r="BH43"/>
  <c r="AE43"/>
  <c r="BI43"/>
  <c r="AC137"/>
  <c r="AE137"/>
  <c r="AD137"/>
  <c r="BI137"/>
  <c r="BJ110"/>
  <c r="F111" i="55"/>
  <c r="E111"/>
  <c r="AD17" i="56"/>
  <c r="BI17"/>
  <c r="AE17"/>
  <c r="AC17"/>
  <c r="BH17"/>
  <c r="AD29"/>
  <c r="AE29"/>
  <c r="AC29"/>
  <c r="BI29"/>
  <c r="BH29"/>
  <c r="BK16"/>
  <c r="G19" i="55"/>
  <c r="E19"/>
  <c r="BJ16" i="56"/>
  <c r="F19" i="55"/>
  <c r="BI117" i="56"/>
  <c r="AD117"/>
  <c r="AE117"/>
  <c r="AC117"/>
  <c r="BH117"/>
  <c r="BI81"/>
  <c r="AD81"/>
  <c r="AE81"/>
  <c r="AC81"/>
  <c r="BH81"/>
  <c r="Z15"/>
  <c r="AB15"/>
  <c r="AA15"/>
  <c r="BI44"/>
  <c r="AE44"/>
  <c r="AD44"/>
  <c r="BH44"/>
  <c r="AC44"/>
  <c r="AE145"/>
  <c r="AD145"/>
  <c r="AC145"/>
  <c r="AD89"/>
  <c r="AE89"/>
  <c r="BH89"/>
  <c r="BI89"/>
  <c r="AC89"/>
  <c r="AA140"/>
  <c r="Z140"/>
  <c r="AB140"/>
  <c r="AC140"/>
  <c r="AE135"/>
  <c r="AD135"/>
  <c r="BI135"/>
  <c r="AC135"/>
  <c r="BH135"/>
  <c r="AD116"/>
  <c r="BI116"/>
  <c r="AC116"/>
  <c r="BH116"/>
  <c r="AE116"/>
  <c r="AD40"/>
  <c r="BH40"/>
  <c r="AC40"/>
  <c r="AE40"/>
  <c r="BI40"/>
  <c r="AD101"/>
  <c r="BH101"/>
  <c r="AC101"/>
  <c r="AE101"/>
  <c r="BI101"/>
  <c r="BI33"/>
  <c r="AD33"/>
  <c r="AC33"/>
  <c r="BH33"/>
  <c r="AE33"/>
  <c r="BK92"/>
  <c r="G95" i="55"/>
  <c r="E95"/>
  <c r="BJ92" i="56"/>
  <c r="F95" i="55"/>
  <c r="AD35" i="56"/>
  <c r="BI35"/>
  <c r="AC35"/>
  <c r="BH35"/>
  <c r="AE35"/>
  <c r="BH48"/>
  <c r="AD48"/>
  <c r="AE48"/>
  <c r="AC48"/>
  <c r="BI48"/>
  <c r="Z77"/>
  <c r="AB77"/>
  <c r="AA77"/>
  <c r="BJ84"/>
  <c r="F87" i="55"/>
  <c r="E87"/>
  <c r="BK84" i="56"/>
  <c r="G87" i="55"/>
  <c r="AC106" i="56"/>
  <c r="AD106"/>
  <c r="BH106"/>
  <c r="AE106"/>
  <c r="BI106"/>
  <c r="E126" i="55"/>
  <c r="BJ125" i="56"/>
  <c r="F126" i="55"/>
  <c r="BK125" i="56"/>
  <c r="G126" i="55"/>
  <c r="E102"/>
  <c r="BJ99" i="56"/>
  <c r="F102" i="55"/>
  <c r="E68"/>
  <c r="BJ65" i="56"/>
  <c r="F68" i="55"/>
  <c r="BK65" i="56"/>
  <c r="G68" i="55"/>
  <c r="BJ51" i="56"/>
  <c r="F54" i="55"/>
  <c r="E54"/>
  <c r="BK51" i="56"/>
  <c r="G54" i="55"/>
  <c r="Z24" i="56"/>
  <c r="AA24"/>
  <c r="AB24"/>
  <c r="Z31"/>
  <c r="AB31"/>
  <c r="AA31"/>
  <c r="BJ37"/>
  <c r="F40" i="55"/>
  <c r="BK37" i="56"/>
  <c r="G40" i="55"/>
  <c r="E40"/>
  <c r="Z118" i="56"/>
  <c r="AA118"/>
  <c r="AB118"/>
  <c r="BI68"/>
  <c r="AD68"/>
  <c r="BH68"/>
  <c r="AE68"/>
  <c r="AC68"/>
  <c r="AC120"/>
  <c r="BH120"/>
  <c r="BI120"/>
  <c r="AE120"/>
  <c r="AD120"/>
  <c r="AE75"/>
  <c r="AC75"/>
  <c r="BH75"/>
  <c r="AD75"/>
  <c r="BI75"/>
  <c r="BK23"/>
  <c r="G26" i="55"/>
  <c r="BJ23" i="56"/>
  <c r="F26" i="55"/>
  <c r="E26"/>
  <c r="AC83" i="56"/>
  <c r="AE83"/>
  <c r="AD83"/>
  <c r="BH83"/>
  <c r="BI83"/>
  <c r="AB96"/>
  <c r="Z96"/>
  <c r="AA96"/>
  <c r="AA70"/>
  <c r="AB70"/>
  <c r="Z70"/>
  <c r="BI32"/>
  <c r="AD32"/>
  <c r="AC32"/>
  <c r="BH32"/>
  <c r="AE32"/>
  <c r="AC66"/>
  <c r="BH66"/>
  <c r="BI66"/>
  <c r="AD66"/>
  <c r="AE66"/>
  <c r="BI41"/>
  <c r="AD41"/>
  <c r="AC41"/>
  <c r="BH41"/>
  <c r="AE41"/>
  <c r="BI109"/>
  <c r="AC109"/>
  <c r="BH109"/>
  <c r="AE109"/>
  <c r="AD109"/>
  <c r="BK26"/>
  <c r="G29" i="55"/>
  <c r="BJ26" i="56"/>
  <c r="F29" i="55"/>
  <c r="E29"/>
  <c r="BI129" i="56"/>
  <c r="BH129"/>
  <c r="AD129"/>
  <c r="AE129"/>
  <c r="AC129"/>
  <c r="E107" i="55"/>
  <c r="BJ104" i="56"/>
  <c r="F107" i="55"/>
  <c r="AE47" i="56"/>
  <c r="AD47"/>
  <c r="BI47"/>
  <c r="AC47"/>
  <c r="BH47"/>
  <c r="BK93"/>
  <c r="G96" i="55"/>
  <c r="BJ93" i="56"/>
  <c r="F96" i="55"/>
  <c r="E96"/>
  <c r="BK85" i="56"/>
  <c r="G88" i="55"/>
  <c r="BJ85" i="56"/>
  <c r="F88" i="55"/>
  <c r="E88"/>
  <c r="E61"/>
  <c r="BJ58" i="56"/>
  <c r="F61" i="55"/>
  <c r="BK58" i="56"/>
  <c r="G61" i="55"/>
  <c r="BJ36" i="56"/>
  <c r="F39" i="55"/>
  <c r="BK36" i="56"/>
  <c r="G39" i="55"/>
  <c r="E39"/>
  <c r="Z71" i="56"/>
  <c r="AA71"/>
  <c r="AB71"/>
  <c r="AA55"/>
  <c r="AB55"/>
  <c r="Z55"/>
  <c r="E71" i="55"/>
  <c r="BK68" i="56"/>
  <c r="G71" i="55"/>
  <c r="BJ68" i="56"/>
  <c r="E104" i="55"/>
  <c r="BJ101" i="56"/>
  <c r="F104" i="55"/>
  <c r="BK17" i="56"/>
  <c r="G20" i="55"/>
  <c r="BJ17" i="56"/>
  <c r="F20" i="55"/>
  <c r="E20"/>
  <c r="BJ87" i="56"/>
  <c r="F90" i="55"/>
  <c r="E90"/>
  <c r="BK87" i="56"/>
  <c r="G90" i="55"/>
  <c r="BJ18" i="56"/>
  <c r="F21" i="55"/>
  <c r="E21"/>
  <c r="BK18" i="56"/>
  <c r="G21" i="55"/>
  <c r="BJ28" i="56"/>
  <c r="F31" i="55"/>
  <c r="E31"/>
  <c r="E48"/>
  <c r="BJ45" i="56"/>
  <c r="F48" i="55"/>
  <c r="BJ46" i="56"/>
  <c r="F49" i="55"/>
  <c r="E49"/>
  <c r="BJ120" i="56"/>
  <c r="F121" i="55"/>
  <c r="E121"/>
  <c r="BK120" i="56"/>
  <c r="G121" i="55"/>
  <c r="BJ106" i="56"/>
  <c r="F109" i="55"/>
  <c r="E109"/>
  <c r="BK106" i="56"/>
  <c r="G109" i="55"/>
  <c r="BJ135" i="56"/>
  <c r="F136" i="55"/>
  <c r="BK135" i="56"/>
  <c r="G136" i="55"/>
  <c r="E136"/>
  <c r="BK38" i="56"/>
  <c r="G41" i="55"/>
  <c r="E41"/>
  <c r="BJ38" i="56"/>
  <c r="F41" i="55"/>
  <c r="BJ76" i="56"/>
  <c r="F79" i="55"/>
  <c r="E79"/>
  <c r="BK76" i="56"/>
  <c r="G79" i="55"/>
  <c r="E70"/>
  <c r="BJ67" i="56"/>
  <c r="F70" i="55"/>
  <c r="BK67" i="56"/>
  <c r="G70" i="55"/>
  <c r="BJ95" i="56"/>
  <c r="F98" i="55"/>
  <c r="BK95" i="56"/>
  <c r="G98" i="55"/>
  <c r="E98"/>
  <c r="BK97" i="56"/>
  <c r="G100" i="55"/>
  <c r="BJ97" i="56"/>
  <c r="F100" i="55"/>
  <c r="E100"/>
  <c r="AC55" i="56"/>
  <c r="BH55"/>
  <c r="AD55"/>
  <c r="AE55"/>
  <c r="BI55"/>
  <c r="E110" i="55"/>
  <c r="BK109" i="56"/>
  <c r="G110" i="55"/>
  <c r="BJ109" i="56"/>
  <c r="F110" i="55"/>
  <c r="BK32" i="56"/>
  <c r="G35" i="55"/>
  <c r="E35"/>
  <c r="BJ32" i="56"/>
  <c r="F35" i="55"/>
  <c r="AE70" i="56"/>
  <c r="AC70"/>
  <c r="BH70"/>
  <c r="BI70"/>
  <c r="AD70"/>
  <c r="AE24"/>
  <c r="AC24"/>
  <c r="BH24"/>
  <c r="BI24"/>
  <c r="AD24"/>
  <c r="BJ35"/>
  <c r="F38" i="55"/>
  <c r="BK35" i="56"/>
  <c r="G38" i="55"/>
  <c r="E38"/>
  <c r="BJ116" i="56"/>
  <c r="F117" i="55"/>
  <c r="BK116" i="56"/>
  <c r="G117" i="55"/>
  <c r="E117"/>
  <c r="AC15" i="56"/>
  <c r="BI15"/>
  <c r="AE15"/>
  <c r="AD15"/>
  <c r="BH15"/>
  <c r="BJ27"/>
  <c r="F30" i="55"/>
  <c r="BK27" i="56"/>
  <c r="G30" i="55"/>
  <c r="E30"/>
  <c r="E127"/>
  <c r="BK126" i="56"/>
  <c r="G127" i="55"/>
  <c r="BJ126" i="56"/>
  <c r="F127" i="55"/>
  <c r="BK60" i="56"/>
  <c r="G63" i="55"/>
  <c r="E63"/>
  <c r="BJ60" i="56"/>
  <c r="BK112"/>
  <c r="G113" i="55"/>
  <c r="E113"/>
  <c r="BJ112" i="56"/>
  <c r="F113" i="55"/>
  <c r="AE71" i="56"/>
  <c r="BI71"/>
  <c r="AC71"/>
  <c r="AD71"/>
  <c r="BH71"/>
  <c r="AC77"/>
  <c r="BH77"/>
  <c r="BI77"/>
  <c r="AD77"/>
  <c r="AE77"/>
  <c r="BJ81"/>
  <c r="F84" i="55"/>
  <c r="BK81" i="56"/>
  <c r="G84" i="55"/>
  <c r="E84"/>
  <c r="E114"/>
  <c r="BK113" i="56"/>
  <c r="G114" i="55"/>
  <c r="BJ113" i="56"/>
  <c r="F114" i="55"/>
  <c r="BK20" i="56"/>
  <c r="G23" i="55"/>
  <c r="E23"/>
  <c r="BJ20" i="56"/>
  <c r="F23" i="55"/>
  <c r="E144"/>
  <c r="BK149" i="56"/>
  <c r="BJ149"/>
  <c r="BH153"/>
  <c r="E145" i="55"/>
  <c r="BJ132" i="56"/>
  <c r="F133" i="55"/>
  <c r="E133"/>
  <c r="BK132" i="56"/>
  <c r="G133" i="55"/>
  <c r="BK75" i="56"/>
  <c r="G78" i="55"/>
  <c r="BJ75" i="56"/>
  <c r="F78" i="55"/>
  <c r="E78"/>
  <c r="BK40" i="56"/>
  <c r="G43" i="55"/>
  <c r="BJ40" i="56"/>
  <c r="F43" i="55"/>
  <c r="E43"/>
  <c r="BJ43" i="56"/>
  <c r="F46" i="55"/>
  <c r="BK43" i="56"/>
  <c r="G46" i="55"/>
  <c r="E46"/>
  <c r="BJ34" i="56"/>
  <c r="F37" i="55"/>
  <c r="BK34" i="56"/>
  <c r="G37" i="55"/>
  <c r="E37"/>
  <c r="BJ102" i="56"/>
  <c r="F105" i="55"/>
  <c r="E105"/>
  <c r="BJ134" i="56"/>
  <c r="F135" i="55"/>
  <c r="E135"/>
  <c r="BK134" i="56"/>
  <c r="G135" i="55"/>
  <c r="BK41" i="56"/>
  <c r="G44" i="55"/>
  <c r="BJ41" i="56"/>
  <c r="F44" i="55"/>
  <c r="E44"/>
  <c r="AE31" i="56"/>
  <c r="AD31"/>
  <c r="AC31"/>
  <c r="BH31"/>
  <c r="BI31"/>
  <c r="E132" i="55"/>
  <c r="BJ131" i="56"/>
  <c r="F132" i="55"/>
  <c r="BK131" i="56"/>
  <c r="G132" i="55"/>
  <c r="BJ143" i="56"/>
  <c r="E141" i="55"/>
  <c r="BK143" i="56"/>
  <c r="BH147"/>
  <c r="E142" i="55"/>
  <c r="E108"/>
  <c r="BJ105" i="56"/>
  <c r="F108" i="55"/>
  <c r="BK105" i="56"/>
  <c r="G108" i="55"/>
  <c r="AC96" i="56"/>
  <c r="BH96"/>
  <c r="BI96"/>
  <c r="AD96"/>
  <c r="AE96"/>
  <c r="AC118"/>
  <c r="BH118"/>
  <c r="AE118"/>
  <c r="BI118"/>
  <c r="AD118"/>
  <c r="BK33"/>
  <c r="G36" i="55"/>
  <c r="E36"/>
  <c r="BJ33" i="56"/>
  <c r="F36" i="55"/>
  <c r="BK129" i="56"/>
  <c r="G130" i="55"/>
  <c r="E130"/>
  <c r="BJ129" i="56"/>
  <c r="F130" i="55"/>
  <c r="E86"/>
  <c r="BK83" i="56"/>
  <c r="G86" i="55"/>
  <c r="BJ83" i="56"/>
  <c r="F86" i="55"/>
  <c r="E51"/>
  <c r="BK48" i="56"/>
  <c r="G51" i="55"/>
  <c r="BJ48" i="56"/>
  <c r="E67" i="55"/>
  <c r="BK64" i="56"/>
  <c r="G67" i="55"/>
  <c r="BJ64" i="56"/>
  <c r="F67" i="55"/>
  <c r="E65"/>
  <c r="BJ62" i="56"/>
  <c r="F65" i="55"/>
  <c r="BK62" i="56"/>
  <c r="G65" i="55"/>
  <c r="BJ47" i="56"/>
  <c r="F50" i="55"/>
  <c r="BK47" i="56"/>
  <c r="G50" i="55"/>
  <c r="E50"/>
  <c r="BJ66" i="56"/>
  <c r="F69" i="55"/>
  <c r="BK66" i="56"/>
  <c r="G69" i="55"/>
  <c r="E69"/>
  <c r="BJ44" i="56"/>
  <c r="F47" i="55"/>
  <c r="E47"/>
  <c r="BK44" i="56"/>
  <c r="G47" i="55"/>
  <c r="BK117" i="56"/>
  <c r="G118" i="55"/>
  <c r="BJ117" i="56"/>
  <c r="F118" i="55"/>
  <c r="E118"/>
  <c r="E32"/>
  <c r="BJ29" i="56"/>
  <c r="F32" i="55"/>
  <c r="BH137" i="56"/>
  <c r="F64" i="55"/>
  <c r="E22"/>
  <c r="BJ19" i="56"/>
  <c r="F22" i="55"/>
  <c r="BK19" i="56"/>
  <c r="G22" i="55"/>
  <c r="BK78" i="56"/>
  <c r="G81" i="55"/>
  <c r="BJ78" i="56"/>
  <c r="F81" i="55"/>
  <c r="E81"/>
  <c r="BJ21" i="56"/>
  <c r="F24" i="55"/>
  <c r="BK21" i="56"/>
  <c r="G24" i="55"/>
  <c r="E24"/>
  <c r="BJ100" i="56"/>
  <c r="F103" i="55"/>
  <c r="E103"/>
  <c r="F82"/>
  <c r="BG147" i="56"/>
  <c r="F52" i="55"/>
  <c r="BJ25" i="56"/>
  <c r="F28" i="55"/>
  <c r="E28"/>
  <c r="BK25" i="56"/>
  <c r="G28" i="55"/>
  <c r="BJ127" i="56"/>
  <c r="F128" i="55"/>
  <c r="E128"/>
  <c r="BK127" i="56"/>
  <c r="G128" i="55"/>
  <c r="E97"/>
  <c r="BJ94" i="56"/>
  <c r="F97" i="55"/>
  <c r="BK94" i="56"/>
  <c r="G97" i="55"/>
  <c r="E115"/>
  <c r="BJ114" i="56"/>
  <c r="F115" i="55"/>
  <c r="BK114" i="56"/>
  <c r="G115" i="55"/>
  <c r="BJ89" i="56"/>
  <c r="F92" i="55"/>
  <c r="BK89" i="56"/>
  <c r="G92" i="55"/>
  <c r="E92"/>
  <c r="F72"/>
  <c r="E62"/>
  <c r="BK59" i="56"/>
  <c r="G62" i="55"/>
  <c r="BJ59" i="56"/>
  <c r="F62" i="55"/>
  <c r="E99"/>
  <c r="BJ96" i="56"/>
  <c r="F99" i="55"/>
  <c r="BJ31" i="56"/>
  <c r="F34" i="55"/>
  <c r="E34"/>
  <c r="BK55" i="56"/>
  <c r="G58" i="55"/>
  <c r="BJ55" i="56"/>
  <c r="F58" i="55"/>
  <c r="E58"/>
  <c r="BJ24" i="56"/>
  <c r="F27" i="55"/>
  <c r="E27"/>
  <c r="BK24" i="56"/>
  <c r="G27" i="55"/>
  <c r="BJ70" i="56"/>
  <c r="F73" i="55"/>
  <c r="E73"/>
  <c r="BK70" i="56"/>
  <c r="G73" i="55"/>
  <c r="BJ77" i="56"/>
  <c r="F80" i="55"/>
  <c r="BK77" i="56"/>
  <c r="G80" i="55"/>
  <c r="E80"/>
  <c r="F144"/>
  <c r="BJ153" i="56"/>
  <c r="F145" i="55"/>
  <c r="E138"/>
  <c r="BJ137" i="56"/>
  <c r="BK137"/>
  <c r="BH141"/>
  <c r="E139" i="55"/>
  <c r="BK118" i="56"/>
  <c r="G119" i="55"/>
  <c r="E119"/>
  <c r="BJ118" i="56"/>
  <c r="F119" i="55"/>
  <c r="BK15" i="56"/>
  <c r="G18" i="55"/>
  <c r="E18"/>
  <c r="BJ15" i="56"/>
  <c r="F18" i="55"/>
  <c r="F51"/>
  <c r="F141"/>
  <c r="BJ147" i="56"/>
  <c r="F142" i="55"/>
  <c r="F71"/>
  <c r="BK147" i="56"/>
  <c r="G142" i="55"/>
  <c r="G141"/>
  <c r="BK153" i="56"/>
  <c r="G145" i="55"/>
  <c r="G144"/>
  <c r="E74"/>
  <c r="BK71" i="56"/>
  <c r="G74" i="55"/>
  <c r="BJ71" i="56"/>
  <c r="F74" i="55"/>
  <c r="F63"/>
  <c r="BG141" i="56"/>
  <c r="F138" i="55"/>
  <c r="BJ141" i="56"/>
  <c r="F139" i="55"/>
  <c r="G138"/>
  <c r="BK141" i="56"/>
  <c r="G139" i="55"/>
</calcChain>
</file>

<file path=xl/sharedStrings.xml><?xml version="1.0" encoding="utf-8"?>
<sst xmlns="http://schemas.openxmlformats.org/spreadsheetml/2006/main" count="1493" uniqueCount="468">
  <si>
    <t>х 222 се</t>
  </si>
  <si>
    <t>х 084 нв</t>
  </si>
  <si>
    <t>м 743 ск</t>
  </si>
  <si>
    <t>т 839 оо</t>
  </si>
  <si>
    <t>х 465 рм</t>
  </si>
  <si>
    <t>н 902 тк</t>
  </si>
  <si>
    <t>к 766 рн</t>
  </si>
  <si>
    <t>Государственный номер</t>
  </si>
  <si>
    <t>доплата за классность</t>
  </si>
  <si>
    <t>А.Б. Анисимов</t>
  </si>
  <si>
    <t>летняя</t>
  </si>
  <si>
    <t>Приложение № 1____к приказу</t>
  </si>
  <si>
    <t>Среднегодовая</t>
  </si>
  <si>
    <t xml:space="preserve">экскаватор HYUNDAI ковш 1 м3 </t>
  </si>
  <si>
    <t>4753 рт</t>
  </si>
  <si>
    <t>Тойота Камри</t>
  </si>
  <si>
    <t>У 121 УУ</t>
  </si>
  <si>
    <t>8747ру</t>
  </si>
  <si>
    <r>
      <t xml:space="preserve">баровая установка БГМ ГУ на МТЗ-82 80л.с. </t>
    </r>
    <r>
      <rPr>
        <b/>
        <sz val="12"/>
        <rFont val="Times New Roman Cyr"/>
        <family val="1"/>
        <charset val="204"/>
      </rPr>
      <t/>
    </r>
  </si>
  <si>
    <t>3240ре</t>
  </si>
  <si>
    <t xml:space="preserve">трактор Т 150К  с баровой установкой </t>
  </si>
  <si>
    <t>3243 ре</t>
  </si>
  <si>
    <t xml:space="preserve">автомобиль ВАЗ-21053  легковой </t>
  </si>
  <si>
    <t>к 491 мв</t>
  </si>
  <si>
    <t xml:space="preserve">автомобиль ВАЗ-21074  легковой </t>
  </si>
  <si>
    <t>к 174 ха</t>
  </si>
  <si>
    <t>к 173 ха</t>
  </si>
  <si>
    <t>к 175 ха</t>
  </si>
  <si>
    <t>а 777 св</t>
  </si>
  <si>
    <t xml:space="preserve">автомобиль (Дежурный) ГАЗ-3309 КО 503В-2 машина вакуумная </t>
  </si>
  <si>
    <t>н 322 ус</t>
  </si>
  <si>
    <t>н 323 ус</t>
  </si>
  <si>
    <t xml:space="preserve">автомобиль ГАЗ-5319 специальная  асцистерна </t>
  </si>
  <si>
    <t>р 375 вн</t>
  </si>
  <si>
    <t xml:space="preserve">автомобиль ГАЗ-53 12 вакуумная  асцистерна </t>
  </si>
  <si>
    <t>е 222 се</t>
  </si>
  <si>
    <t>о 777 св</t>
  </si>
  <si>
    <t xml:space="preserve"> у 777 св </t>
  </si>
  <si>
    <t xml:space="preserve">автомобиль ГАЗ 3307 грузовой фургон  </t>
  </si>
  <si>
    <t>р 888 се</t>
  </si>
  <si>
    <t>н 862 рк</t>
  </si>
  <si>
    <t xml:space="preserve">автомобиль ГАЗ 3307 специальный фургон </t>
  </si>
  <si>
    <t>в 388 кв</t>
  </si>
  <si>
    <t>н 444 св</t>
  </si>
  <si>
    <t xml:space="preserve">автомобиль УАЗ 3909 грузо-пассажирский </t>
  </si>
  <si>
    <t>у 698 ех</t>
  </si>
  <si>
    <t xml:space="preserve">автомобиль УАЗ 31514 специальный пассажирский микроавтобус </t>
  </si>
  <si>
    <t xml:space="preserve">автомобиль Форд  Транзит 350 грузовой  фургон </t>
  </si>
  <si>
    <t xml:space="preserve">х 111 се   </t>
  </si>
  <si>
    <t>х 116 ха</t>
  </si>
  <si>
    <t>р 222 ст</t>
  </si>
  <si>
    <t>т 973 са</t>
  </si>
  <si>
    <t>в 421 кх</t>
  </si>
  <si>
    <t xml:space="preserve">у 970 кх </t>
  </si>
  <si>
    <t>а 653 сн</t>
  </si>
  <si>
    <t>к 363 ко</t>
  </si>
  <si>
    <t xml:space="preserve">т 361 км </t>
  </si>
  <si>
    <t>е 111 рм</t>
  </si>
  <si>
    <t>а 111 ск</t>
  </si>
  <si>
    <t>р 777 се</t>
  </si>
  <si>
    <t>н 869 рк</t>
  </si>
  <si>
    <t>а 333 ск</t>
  </si>
  <si>
    <t>р 061 рк</t>
  </si>
  <si>
    <t>м 560 тт</t>
  </si>
  <si>
    <t xml:space="preserve">погрузчик Goматsu FG 15 17 </t>
  </si>
  <si>
    <t>0644 рн</t>
  </si>
  <si>
    <t>х 831 ее</t>
  </si>
  <si>
    <t>Часовая тарифная ставка, руб.</t>
  </si>
  <si>
    <t>Надбавки</t>
  </si>
  <si>
    <t>вредность</t>
  </si>
  <si>
    <t>ночные</t>
  </si>
  <si>
    <t>празд-ные, руб.</t>
  </si>
  <si>
    <t>Премия</t>
  </si>
  <si>
    <t>район. коэф.</t>
  </si>
  <si>
    <t>сев. над.</t>
  </si>
  <si>
    <t>%</t>
  </si>
  <si>
    <t>сумма, руб.</t>
  </si>
  <si>
    <t>итого зарплата, руб.</t>
  </si>
  <si>
    <t>доплата за профмастерство</t>
  </si>
  <si>
    <t>Цена 1 л топлива, руб.</t>
  </si>
  <si>
    <t>Наименование топлива</t>
  </si>
  <si>
    <t>1</t>
  </si>
  <si>
    <t>х 832 ее</t>
  </si>
  <si>
    <t>х 819 ее</t>
  </si>
  <si>
    <r>
      <t xml:space="preserve">автомобиль FORD TRANSIT VAN специальный </t>
    </r>
    <r>
      <rPr>
        <b/>
        <sz val="12"/>
        <rFont val="Times New Roman Cyr"/>
        <charset val="204"/>
      </rPr>
      <t/>
    </r>
  </si>
  <si>
    <t>с 558 хв</t>
  </si>
  <si>
    <t>Наименование смазочных материалов</t>
  </si>
  <si>
    <t>Цена 1 л смазочных материалов, руб.</t>
  </si>
  <si>
    <t>затраты на смазочные материалы, руб.</t>
  </si>
  <si>
    <t>среднечасовой пробег, км</t>
  </si>
  <si>
    <t>Цена 1 автошины, руб.</t>
  </si>
  <si>
    <t>Количество колёс, шт.</t>
  </si>
  <si>
    <t>затраты на автошины, руб.</t>
  </si>
  <si>
    <t>итого тариф 1 машино - часа (без НДС) для использования во взаимоотношениях со сторонними организациями,  руб.</t>
  </si>
  <si>
    <t>нормы расхода топлива, л на 100 км пробега (1 час работы механизма)</t>
  </si>
  <si>
    <t>Марка автомобиля, механизма</t>
  </si>
  <si>
    <t>№ п/п</t>
  </si>
  <si>
    <t>Дизельное топливо</t>
  </si>
  <si>
    <t>бензин АИ - 92</t>
  </si>
  <si>
    <t>бензин АИ - 80</t>
  </si>
  <si>
    <t>Дизельное топливо ЕВРО</t>
  </si>
  <si>
    <t>бензин АИ - 95</t>
  </si>
  <si>
    <t xml:space="preserve">Дизельное топливо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</si>
  <si>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</si>
  <si>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</si>
  <si>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</si>
  <si>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</si>
  <si>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</si>
  <si>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</si>
  <si>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</si>
  <si>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</si>
  <si>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</si>
  <si>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</si>
  <si>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</si>
  <si>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</si>
  <si>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</si>
  <si>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</si>
  <si>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</si>
  <si>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</si>
  <si>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</si>
  <si>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</si>
  <si>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</si>
  <si>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</si>
  <si>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</si>
  <si>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</si>
  <si>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</si>
  <si>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</si>
  <si>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</si>
  <si>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</si>
  <si>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</si>
  <si>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</si>
  <si>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</si>
  <si>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</si>
  <si>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</si>
  <si>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</si>
  <si>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</si>
  <si>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</si>
  <si>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</si>
  <si>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</si>
  <si>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</si>
  <si>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</si>
  <si>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</si>
  <si>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</si>
  <si>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</si>
  <si>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</si>
  <si>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</si>
  <si>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</si>
  <si>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</si>
  <si>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</si>
  <si>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</si>
  <si>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</si>
  <si>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</si>
  <si>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</si>
  <si>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</si>
  <si>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</si>
  <si>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</si>
  <si>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</si>
  <si>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</si>
  <si>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</si>
  <si>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64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</si>
  <si>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</si>
  <si>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</si>
  <si>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</si>
  <si>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</si>
  <si>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</si>
  <si>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</si>
  <si>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</si>
  <si>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</si>
  <si>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</si>
  <si>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</si>
  <si>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</si>
  <si>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</si>
  <si>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</si>
  <si>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</si>
  <si>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</si>
  <si>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</si>
  <si>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</si>
  <si>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</si>
  <si>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</si>
  <si>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91</t>
  </si>
  <si>
    <t>Название нормы работы спецоборудования</t>
  </si>
  <si>
    <t>Время работы спецоборудования в расчёте на 1 час эксплуатации автомобиля, час.</t>
  </si>
  <si>
    <t>затраты топлива на работу спецоборудования, руб.</t>
  </si>
  <si>
    <t>затраты топлива всего, руб.</t>
  </si>
  <si>
    <t>работа насоса</t>
  </si>
  <si>
    <t>Норма расхода топлива на 1 час  (1 погр. - разгр.) работы спецоборудования, л</t>
  </si>
  <si>
    <t>затраты топлива на пробег - 23 км, (работу механизма - 1 час), руб.</t>
  </si>
  <si>
    <t>Масло моторное М-10ДМ</t>
  </si>
  <si>
    <t>Масло моторное Экстра 10w40</t>
  </si>
  <si>
    <t>Масло моторное М-8В</t>
  </si>
  <si>
    <t>Масло моторное ЗМЗ 10w40</t>
  </si>
  <si>
    <t>Масло моторноеZIC 5000 10w40</t>
  </si>
  <si>
    <t>Нормы расхода смазочных материалов, л на 100 л расхода топлива</t>
  </si>
  <si>
    <t>Пробег автомобиля, км (время работы механизма, час.) до полной амортизации шин</t>
  </si>
  <si>
    <t>наименование шин</t>
  </si>
  <si>
    <t>280Р508(10.00Р20) ОИ-73Б с/к Ом</t>
  </si>
  <si>
    <t>1220х400х533</t>
  </si>
  <si>
    <t>260Р508(9.00Р20)0-40 БМ-1с/к Ом</t>
  </si>
  <si>
    <t>1) 11,2х20 Ф35 с/к Волтаир 2) 15,5 Р 38 Ф-2А Сх/ш</t>
  </si>
  <si>
    <t>5237,29      11884,75</t>
  </si>
  <si>
    <t>2                                                         2</t>
  </si>
  <si>
    <t>370х508 Я30718</t>
  </si>
  <si>
    <t>530х610/21.3Р24</t>
  </si>
  <si>
    <t>195х65</t>
  </si>
  <si>
    <t>240Р508 (8,25Р20) У-2 с/к Алтай</t>
  </si>
  <si>
    <t>225/75Р16С Кама-218 б/к</t>
  </si>
  <si>
    <t>8/40-15 Z245 c/к Бр</t>
  </si>
  <si>
    <t>225/75Р16 Cordiant OFF ROAD</t>
  </si>
  <si>
    <t>215х75 Р16</t>
  </si>
  <si>
    <t>№№ п/п</t>
  </si>
  <si>
    <t>ТАРИФЫ НА РАБОТЫ И УСЛУГИ,</t>
  </si>
  <si>
    <t>1 машино - час</t>
  </si>
  <si>
    <t>Марка автомобилей и механизмов</t>
  </si>
  <si>
    <t>итого тариф 1 машино - часа (без НДС) для использования во взаимоотношениях с работниками предприятия,  руб.</t>
  </si>
  <si>
    <t>итого тариф 1 машино - часа (без НДС) для использования в отношениях со структурными подразделениями предприятия,  руб.</t>
  </si>
  <si>
    <t xml:space="preserve">Калькуляции стоимости 1 машино - часа эксплуатации автомобилей и механизмов для структурных подразделений предприятия, сторонних организаций и работников предприятия </t>
  </si>
  <si>
    <t>Дт ЕВРО</t>
  </si>
  <si>
    <t>225х75 R16C</t>
  </si>
  <si>
    <t xml:space="preserve"> обслуживание оборудования</t>
  </si>
  <si>
    <t xml:space="preserve">зимняя (надб. автомобили -  15 %, механизмы - 18 %) </t>
  </si>
  <si>
    <t>с 7 % надб.</t>
  </si>
  <si>
    <t>базовая</t>
  </si>
  <si>
    <t>а 383 хс</t>
  </si>
  <si>
    <t>а 384 хс</t>
  </si>
  <si>
    <t>а 385 хс</t>
  </si>
  <si>
    <t>а 541 хс</t>
  </si>
  <si>
    <t>а 984 хс</t>
  </si>
  <si>
    <t>м 487 хс</t>
  </si>
  <si>
    <t>м 488 хс</t>
  </si>
  <si>
    <t>м 489 хс</t>
  </si>
  <si>
    <t>ДЭУ Новус кран - борт</t>
  </si>
  <si>
    <t>Фиат Дукато  микроавтобус дежурный</t>
  </si>
  <si>
    <t>Фиат Дукато  микроавтобус</t>
  </si>
  <si>
    <t>амортизация (лизинговые платежи) по автомобилю (механизму) на 1 машино - час, руб.</t>
  </si>
  <si>
    <t>Экономист 1 кат. ПЭО</t>
  </si>
  <si>
    <t>Начальник ПЭО</t>
  </si>
  <si>
    <t>Г.В. Брюхнова</t>
  </si>
  <si>
    <t>выполняемые автомобилями и механизмами МУП "Водоканал" г. Иркутска</t>
  </si>
  <si>
    <t>м 014 км</t>
  </si>
  <si>
    <t>215/55R17</t>
  </si>
  <si>
    <t>215/55 R16</t>
  </si>
  <si>
    <t>Экскаватор Катерпиллер м 318D</t>
  </si>
  <si>
    <t>Экскаватор - погрузчик Катерпиллер 428 F</t>
  </si>
  <si>
    <t>РС 0517</t>
  </si>
  <si>
    <t>РС 0520</t>
  </si>
  <si>
    <t>РС 0519</t>
  </si>
  <si>
    <t>РС 0518</t>
  </si>
  <si>
    <t xml:space="preserve">Форд Фокус  </t>
  </si>
  <si>
    <t xml:space="preserve">Форд Мондео </t>
  </si>
  <si>
    <t xml:space="preserve">Фиат Дукато  с оборудованием для цеха сети водопровода </t>
  </si>
  <si>
    <t xml:space="preserve">Фиат Дукато с оборудованием для цеха сети канализации </t>
  </si>
  <si>
    <t xml:space="preserve">Фиат Дукато с оборудованием для цеха сети водопровода </t>
  </si>
  <si>
    <t>работа крановой установки</t>
  </si>
  <si>
    <t>"УТВЕРЖДАЮ"</t>
  </si>
  <si>
    <r>
      <t>автогрейдер ДЗ-122 135 л.с.</t>
    </r>
    <r>
      <rPr>
        <b/>
        <sz val="12"/>
        <rFont val="Times New Roman"/>
        <family val="1"/>
        <charset val="204"/>
      </rPr>
      <t xml:space="preserve"> </t>
    </r>
  </si>
  <si>
    <r>
      <t xml:space="preserve">автомобиль ГАЗ-3307  асцистерна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 503-В</t>
    </r>
  </si>
  <si>
    <t>автомобиль ГАЗ-3307КО 503В специальная асцистерна  гр.4,5т)</t>
  </si>
  <si>
    <t>автомобиль ГАЗ-3307 КО 503В  асцистерна  гр.4,5т</t>
  </si>
  <si>
    <t>автомобиль ГАЗ-3307 КО 503В асцистерна   гр.4,5т</t>
  </si>
  <si>
    <r>
      <t>автомобиль ГАЗ 3307 грузовой фургон</t>
    </r>
    <r>
      <rPr>
        <b/>
        <sz val="12"/>
        <rFont val="Times New Roman"/>
        <family val="1"/>
        <charset val="204"/>
      </rPr>
      <t xml:space="preserve"> </t>
    </r>
  </si>
  <si>
    <r>
      <t>автомобиль ГАЗ 2705 фургон</t>
    </r>
    <r>
      <rPr>
        <b/>
        <sz val="12"/>
        <rFont val="Times New Roman"/>
        <family val="1"/>
        <charset val="204"/>
      </rPr>
      <t xml:space="preserve"> </t>
    </r>
  </si>
  <si>
    <r>
      <t xml:space="preserve">автомобиль ЗИЛ 431412 КО 713-01 специальная 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гр.6т</t>
    </r>
  </si>
  <si>
    <t>автомобиль ЗИЛ 431412    цистерна  гр.6т</t>
  </si>
  <si>
    <r>
      <t xml:space="preserve">автомобиль (Дежурный) ЗИЛ МДК 433362 комбинированный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гр.6т</t>
    </r>
  </si>
  <si>
    <r>
      <t xml:space="preserve">автомобиль ЗИЛ ММЗ 450850 самосвал.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гр.6т</t>
    </r>
  </si>
  <si>
    <t>автомобиль КАМАЗ 55111 самосвал.  гр.13т</t>
  </si>
  <si>
    <r>
      <t xml:space="preserve">автомобиль КАМАЗ 55111 самосвал.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гр.13т</t>
    </r>
  </si>
  <si>
    <t>автомобиль КАМАЗ 55111 самосвал. гр.13т</t>
  </si>
  <si>
    <t>автомобиль КАМАЗ 65115 самосвал.  гр.15т</t>
  </si>
  <si>
    <t>автомобиль КАМАЗ 65115 самосвал. гр.15т</t>
  </si>
  <si>
    <t>автомобиль КАМАЗ 43101 бортовой  гр.15т</t>
  </si>
  <si>
    <r>
      <t xml:space="preserve">автомобиль КАМАЗ 5410  тягач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гр.14,5т</t>
    </r>
  </si>
  <si>
    <r>
      <t xml:space="preserve">автомобиль КАМАЗ 5320 цистерна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гр.10т</t>
    </r>
  </si>
  <si>
    <t>автомобиль КАМАЗ 53213 КО 505 А цистерна  гр.10т</t>
  </si>
  <si>
    <t>автомобиль КАМАЗ КО-505А вакуумная цистерна  гр.10т</t>
  </si>
  <si>
    <t>автомобиль КАМАЗ КО 514 цистерна  гр.13т</t>
  </si>
  <si>
    <t>автомобиль КАМАЗ-5320 КО 505 А цистерна  гр.13 т</t>
  </si>
  <si>
    <t>автомобиль КАМАЗ-565869 цистерна  гр.10 т</t>
  </si>
  <si>
    <t>автомобиль КАМАЗ-65115 ДКТ 275   гр.8 т</t>
  </si>
  <si>
    <t>автомобиль SKANIA Р 380 специальный  дл.12м</t>
  </si>
  <si>
    <t>тариф для сторонних организаций без НДС, руб.</t>
  </si>
  <si>
    <t>тариф для работников предприятия без НДС, руб.</t>
  </si>
  <si>
    <t>Ед. изм.</t>
  </si>
  <si>
    <t>тариф для расчетов со структурными подразделениями предприятия</t>
  </si>
  <si>
    <t>Приложение 2</t>
  </si>
  <si>
    <t>автомобиль HYUNDAI GOLD HD 120 Extra Long</t>
  </si>
  <si>
    <t>работа насосной установки</t>
  </si>
  <si>
    <t>Масло моторное  Люкс SAE 15W40 5л</t>
  </si>
  <si>
    <t>8.25х16-16PR</t>
  </si>
  <si>
    <t>Масло моторное Ford Castrol Magnatec 5w30</t>
  </si>
  <si>
    <t>Масло моторное CAT DEO SAE 10w-30</t>
  </si>
  <si>
    <t>поощрение за труд к отпуску, руб.</t>
  </si>
  <si>
    <t>выслуга лет (6 %), руб.</t>
  </si>
  <si>
    <t>13 зарплата  (7 %), руб.</t>
  </si>
  <si>
    <t>Всего зарплата, руб.</t>
  </si>
  <si>
    <t>р 932 хм</t>
  </si>
  <si>
    <t xml:space="preserve">е 610 хм </t>
  </si>
  <si>
    <t>р 933 хм</t>
  </si>
  <si>
    <t>р 934 хм</t>
  </si>
  <si>
    <t>Рентабельность для использования во взаимоотношениях со сторонними организациями 20 % от зарплаты рабочих, руб.</t>
  </si>
  <si>
    <t xml:space="preserve"> м 254 нм </t>
  </si>
  <si>
    <t>автомобиль КАМАЗ 55111 самосвал.гр.13т</t>
  </si>
  <si>
    <t>Экскаватор - погрузчик Катерпиллер 434 F</t>
  </si>
  <si>
    <t>РС 4166</t>
  </si>
  <si>
    <t>РС 4167</t>
  </si>
  <si>
    <t>Автомобиль Hino (кран - борт)</t>
  </si>
  <si>
    <t>А 337 АВ</t>
  </si>
  <si>
    <t>РС 4165</t>
  </si>
  <si>
    <t>10,00-20 dual pneumatic</t>
  </si>
  <si>
    <t>12,5/80-18R4                                    18.4 - 26 R1</t>
  </si>
  <si>
    <t>7966,1                      19213,56</t>
  </si>
  <si>
    <t>2                           2</t>
  </si>
  <si>
    <t>18.4 - 26 R1</t>
  </si>
  <si>
    <t>225х75 R17,5</t>
  </si>
  <si>
    <t>СсангЙонг Экшн Спортс</t>
  </si>
  <si>
    <t>Н 222 СВ</t>
  </si>
  <si>
    <t>автомобиль Камаз 797912 (ДКТ-285) на шасси КАМАЗ 4308</t>
  </si>
  <si>
    <t>К225АК</t>
  </si>
  <si>
    <t>автомобиль Камаз 797910 (ДКТ-275) на шасси КАМАЗ 65115</t>
  </si>
  <si>
    <t>К226АК</t>
  </si>
  <si>
    <t>Fiat DOBLO CARGO</t>
  </si>
  <si>
    <t>Т 032 АВ</t>
  </si>
  <si>
    <t>175/70 R 14 82H</t>
  </si>
  <si>
    <t>FORD TRANSIT VAN</t>
  </si>
  <si>
    <t>Форд Торнео Кустом</t>
  </si>
  <si>
    <t>195/65 R15</t>
  </si>
  <si>
    <t>в 977 аа</t>
  </si>
  <si>
    <t>в 978 аа</t>
  </si>
  <si>
    <t>начисления на зарплату (30,2 %), руб.</t>
  </si>
  <si>
    <t>Должность рабочего, обслуживающего технику</t>
  </si>
  <si>
    <t>Разряд</t>
  </si>
  <si>
    <t>Транспортные расходы на доставку</t>
  </si>
  <si>
    <t>машинист экскаватора</t>
  </si>
  <si>
    <t>машинист баровой установки</t>
  </si>
  <si>
    <t>машинист автогрейдера</t>
  </si>
  <si>
    <t>тракторист</t>
  </si>
  <si>
    <t>водитель автомобиля</t>
  </si>
  <si>
    <t>водитель автомобиля (дежурный)</t>
  </si>
  <si>
    <t>водитель погрузчика</t>
  </si>
  <si>
    <t>Хюндай Портер 2</t>
  </si>
  <si>
    <t>Х 771 АВ</t>
  </si>
  <si>
    <t>Х 772 АВ</t>
  </si>
  <si>
    <t>Х 773 АВ</t>
  </si>
  <si>
    <t>Х 774 АВ</t>
  </si>
  <si>
    <t>Х 775 АВ</t>
  </si>
  <si>
    <t>Масло моторное Castrol GTX А3/В3 4651220060 5W40</t>
  </si>
  <si>
    <t>195/70R15C - 6PR                            145R13C</t>
  </si>
  <si>
    <t xml:space="preserve">3995                                                                            3060                                                   </t>
  </si>
  <si>
    <t>2                                                                                    4</t>
  </si>
  <si>
    <t>Ссанг Йонг Экшн Спортс (АКПП)</t>
  </si>
  <si>
    <t>Х 436 АВ</t>
  </si>
  <si>
    <t>Х 437 АВ</t>
  </si>
  <si>
    <t>Х 438 АВ</t>
  </si>
  <si>
    <t>Х 439 АВ</t>
  </si>
  <si>
    <t>Х 440 АВ</t>
  </si>
  <si>
    <t>Ссанг Йонг Экшн Спортс (МКПП)</t>
  </si>
  <si>
    <t>Х 441 АВ</t>
  </si>
  <si>
    <t>Х 944 АВ</t>
  </si>
  <si>
    <t>Х 943 АВ</t>
  </si>
  <si>
    <t>автомобиль Камаз 489535 на шасси КАМАЗ 43118</t>
  </si>
  <si>
    <t>М 130 АВ</t>
  </si>
  <si>
    <t>М 132 АВ</t>
  </si>
  <si>
    <t>экскаватор многоковшовый траншейный цепной ЭТЦ – 2086</t>
  </si>
  <si>
    <t>РС5311</t>
  </si>
  <si>
    <t>РС5312</t>
  </si>
  <si>
    <t>РС4300</t>
  </si>
  <si>
    <t>автомобиль Фиат Дукато специальный</t>
  </si>
  <si>
    <t>А246АВ</t>
  </si>
  <si>
    <t>А251АВ</t>
  </si>
  <si>
    <t>А252АВ</t>
  </si>
  <si>
    <t>А253АВ</t>
  </si>
  <si>
    <t>А254АВ</t>
  </si>
  <si>
    <t>А255АВ</t>
  </si>
  <si>
    <t>А256АВ</t>
  </si>
  <si>
    <t>А257АВ</t>
  </si>
  <si>
    <t>А258АВ</t>
  </si>
  <si>
    <t>А259АВ</t>
  </si>
  <si>
    <t>Экскаватор - погрузчик Катерпиллер 216 В</t>
  </si>
  <si>
    <t xml:space="preserve">работа крановой установки </t>
  </si>
  <si>
    <t>10х16,5</t>
  </si>
  <si>
    <t>автомобиль Моrо SW11Е на базе автомобиля Iveco Stralis 6х2, специальный</t>
  </si>
  <si>
    <t>К 372 АМ</t>
  </si>
  <si>
    <t xml:space="preserve">Fiat DOBLO </t>
  </si>
  <si>
    <t>К 374 АМ</t>
  </si>
  <si>
    <t>295/60 R22.5</t>
  </si>
  <si>
    <t>К 613 АМ</t>
  </si>
  <si>
    <t>К 614 АМ</t>
  </si>
  <si>
    <t>Фиат Дукато</t>
  </si>
  <si>
    <t>М 539 АН</t>
  </si>
  <si>
    <t>Машина для направленного горизонтального бурения UNIVERSAL UNI 60 x 70 усиленная c 2 мотопомпами SKAT МПБ - 1300</t>
  </si>
  <si>
    <t>без перевозки</t>
  </si>
  <si>
    <t>Слесарь АВР - 1 чел.</t>
  </si>
  <si>
    <t>дизельное топливо</t>
  </si>
  <si>
    <t>Масло моторное JoHn Deere Plus - 50</t>
  </si>
  <si>
    <t>Слесарь АВР - 2 чел.</t>
  </si>
  <si>
    <t>Слесарь АВР - 3 чел.</t>
  </si>
  <si>
    <t>инженер 1 кат. ремонтного цеха - 1 чел.</t>
  </si>
  <si>
    <t>с перевозкой (автомобили КАМАЗ 5410  тягач и  Дэу Новус кран - борт)</t>
  </si>
  <si>
    <t>Машина для направленного горизонтального бурения Vermeer Navigator D7 x 11 A c 1 мотопомпой SKAT МПБ - 1300</t>
  </si>
  <si>
    <t>инженер 1 кат. Ремонтного цеха - 1 чел.</t>
  </si>
  <si>
    <t>с перевозкой автомобилем ДЭУ - Новус кран - борт</t>
  </si>
  <si>
    <t>Форд Рейнджер</t>
  </si>
  <si>
    <t>К 777 СЕ</t>
  </si>
  <si>
    <t>235/75 R15</t>
  </si>
  <si>
    <t>О 529 ОО</t>
  </si>
  <si>
    <t>В 820 АМ</t>
  </si>
  <si>
    <t>Форд Транзит 3227 SD с экспресс - лабораторией</t>
  </si>
  <si>
    <t>М 899 УН</t>
  </si>
  <si>
    <t>начальник электролаборатории</t>
  </si>
  <si>
    <t>электроэнергия</t>
  </si>
  <si>
    <t>работа лаборатории высоковольтных испытаний</t>
  </si>
  <si>
    <t>инженер 1 кат. Электролаборатории</t>
  </si>
  <si>
    <t>Илососная машина ТКМ – 670 на шасси автомобиля Форд Карго</t>
  </si>
  <si>
    <t>Е 036 УС</t>
  </si>
  <si>
    <t>315/80 R 22,5</t>
  </si>
  <si>
    <t>А 276 АН</t>
  </si>
  <si>
    <t>Фиат Добло</t>
  </si>
  <si>
    <t>А 297 АН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</si>
  <si>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</si>
  <si>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</si>
  <si>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</si>
  <si>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</si>
  <si>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</si>
  <si>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</si>
  <si>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</si>
  <si>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</si>
  <si>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</si>
  <si>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</si>
  <si>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</si>
  <si>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</si>
  <si>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</si>
  <si>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</si>
  <si>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</si>
  <si>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</si>
  <si>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</si>
  <si>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</si>
  <si>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</si>
  <si>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</si>
  <si>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</si>
  <si>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</si>
  <si>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</si>
  <si>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</si>
  <si>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</si>
  <si>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</si>
  <si>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</si>
  <si>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</si>
  <si>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</si>
  <si>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</si>
  <si>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цеховые расходы (9,8 %), руб.</t>
  </si>
  <si>
    <t>х 366 хт</t>
  </si>
  <si>
    <t>х 367 хт</t>
  </si>
  <si>
    <t xml:space="preserve"> к приказу от " ___"________  2015    №_____</t>
  </si>
  <si>
    <t>Машина для направленного горизонтального бурения UNIVERSAL HDD UNI 20 x 22  c 1 мотопомпой SKAT МПБ - 1300</t>
  </si>
  <si>
    <t>РР 2212</t>
  </si>
  <si>
    <t>с перевозкой (арендуемый автомобиль эвакуатор 5 тн и  Дэу Новус кран - борт)</t>
  </si>
  <si>
    <t>автомобиль HYUNDAI GOLD HD 120 Extra Long (илосос)</t>
  </si>
  <si>
    <t>А 699 АН</t>
  </si>
  <si>
    <t xml:space="preserve">  от "___"_______2015 г.   № ____</t>
  </si>
  <si>
    <t>общеэксплуатационные  расходы (101,33 % с понижающим коэффициентом 0,05), руб.</t>
  </si>
  <si>
    <t>сумма затрат на текущий ремонт и техобслуживание ( общая годовая сумма затрат на текущий ремонт и техобслуживание - 11 788,503 тыс. руб., годовая норма рабочего времени - 1971 час., количество единиц техники - 123) 11 788 503/1971/123= 48,62 руб.</t>
  </si>
  <si>
    <t>сумма затрат на капитальный ремонт ( общая годовая сумма затрат на капитальный ремонт - 4 244,39 тыс. руб., годовая норма рабочего времени - 1971 час., количество единиц техники - 123) 4 244 390/1971/123= 17,51 руб.</t>
  </si>
  <si>
    <t>расходы на охрану труда (годовая сумма затрат на приобретение спецодежды и спецобуви - 1 258 068 руб., годовая норма рабочего времени - 1971 час., количество единиц техники - 123)  1 258 068/1971/123= 5,19 руб.</t>
  </si>
  <si>
    <t>122</t>
  </si>
  <si>
    <t xml:space="preserve">Вводятся в действие с 13.01.2015 </t>
  </si>
  <si>
    <t>И.о. директора МУП "Водоканал" г. Иркутска</t>
  </si>
  <si>
    <t>___________________И.В. Гранкин</t>
  </si>
  <si>
    <t>Калькуляция №1</t>
  </si>
  <si>
    <t>тариф для сторонних организаций с НДС, руб.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</si>
</sst>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0.000"/>
    <numFmt numFmtId="166" formatCode="0.00_ ;[Red]\-0.00\ 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7" fillId="0" borderId="0" xfId="0" applyNumberFormat="1" applyFont="1" applyAlignment="1"/>
    <xf numFmtId="49" fontId="7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justify"/>
    </xf>
    <xf numFmtId="0" fontId="9" fillId="0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/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/>
    <xf numFmtId="165" fontId="0" fillId="0" borderId="0" xfId="0" applyNumberFormat="1" applyFill="1"/>
    <xf numFmtId="0" fontId="2" fillId="0" borderId="8" xfId="0" applyFont="1" applyFill="1" applyBorder="1" applyAlignment="1">
      <alignment horizontal="right" vertical="center" wrapText="1"/>
    </xf>
    <xf numFmtId="166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8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3" borderId="4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3" fontId="2" fillId="3" borderId="1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49" fontId="2" fillId="0" borderId="0" xfId="0" applyNumberFormat="1" applyFont="1" applyFill="1" applyAlignment="1">
      <alignment horizontal="left" vertical="justify" wrapText="1"/>
    </xf>
    <xf numFmtId="0" fontId="0" fillId="0" borderId="0" xfId="0" applyFill="1" applyAlignment="1">
      <alignment horizontal="left" vertical="justify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0" fillId="0" borderId="8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3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34"/>
  <sheetViews>
    <sheetView zoomScale="65" zoomScaleNormal="65" workbookViewId="0">
      <pane xSplit="3" ySplit="13" topLeftCell="AE149" activePane="bottomRight" state="frozen"/>
      <selection pane="topRight" activeCell="D1" sqref="D1"/>
      <selection pane="bottomLeft" activeCell="A14" sqref="A14"/>
      <selection pane="bottomRight" activeCell="BN150" sqref="BN150"/>
    </sheetView>
  </sheetViews>
  <sheetFormatPr defaultRowHeight="12.75"/>
  <cols>
    <col min="1" max="1" width="8.140625" style="46" customWidth="1"/>
    <col min="2" max="2" width="19.42578125" style="3" customWidth="1"/>
    <col min="3" max="3" width="8.28515625" style="45" customWidth="1"/>
    <col min="4" max="4" width="21.42578125" style="45" customWidth="1"/>
    <col min="5" max="5" width="8.28515625" style="45" customWidth="1"/>
    <col min="6" max="6" width="9.42578125" style="3" customWidth="1"/>
    <col min="7" max="7" width="6.140625" style="3" customWidth="1"/>
    <col min="8" max="8" width="6.85546875" style="3" customWidth="1"/>
    <col min="9" max="9" width="5.5703125" style="3" customWidth="1"/>
    <col min="10" max="10" width="5.7109375" style="3" customWidth="1"/>
    <col min="11" max="11" width="5.5703125" style="3" customWidth="1"/>
    <col min="12" max="12" width="6.85546875" style="3" customWidth="1"/>
    <col min="13" max="13" width="5.7109375" style="3" customWidth="1"/>
    <col min="14" max="14" width="5.140625" style="3" customWidth="1"/>
    <col min="15" max="15" width="6.85546875" style="3" customWidth="1"/>
    <col min="16" max="16" width="4.42578125" style="3" customWidth="1"/>
    <col min="17" max="17" width="5.5703125" style="3" customWidth="1"/>
    <col min="18" max="18" width="5.140625" style="3" customWidth="1"/>
    <col min="19" max="19" width="6.85546875" style="3" customWidth="1"/>
    <col min="20" max="20" width="5.140625" style="3" customWidth="1"/>
    <col min="21" max="21" width="6.85546875" style="3" customWidth="1"/>
    <col min="22" max="22" width="4.5703125" style="3" customWidth="1"/>
    <col min="23" max="23" width="6.85546875" style="3" customWidth="1"/>
    <col min="24" max="24" width="8.7109375" style="3" customWidth="1"/>
    <col min="25" max="27" width="6.85546875" style="3" customWidth="1"/>
    <col min="28" max="28" width="8.42578125" style="3" customWidth="1"/>
    <col min="29" max="30" width="6.7109375" style="3" customWidth="1"/>
    <col min="31" max="31" width="7.5703125" style="3" customWidth="1"/>
    <col min="32" max="33" width="6.85546875" style="3" customWidth="1"/>
    <col min="34" max="34" width="7.5703125" style="3" customWidth="1"/>
    <col min="35" max="35" width="7.140625" style="3" customWidth="1"/>
    <col min="36" max="36" width="6.28515625" style="3" customWidth="1"/>
    <col min="37" max="37" width="6.140625" style="3" customWidth="1"/>
    <col min="38" max="38" width="7.7109375" style="3" customWidth="1"/>
    <col min="39" max="39" width="7.5703125" style="3" customWidth="1"/>
    <col min="40" max="40" width="7.85546875" style="3" customWidth="1"/>
    <col min="41" max="41" width="8.140625" style="3" customWidth="1"/>
    <col min="42" max="42" width="8.7109375" style="3" customWidth="1"/>
    <col min="43" max="43" width="6.28515625" style="3" customWidth="1"/>
    <col min="44" max="44" width="8.42578125" style="3" customWidth="1"/>
    <col min="45" max="45" width="10.7109375" style="3" customWidth="1"/>
    <col min="46" max="46" width="7.140625" style="3" customWidth="1"/>
    <col min="47" max="47" width="5.85546875" style="3" customWidth="1"/>
    <col min="48" max="48" width="7.5703125" style="3" customWidth="1"/>
    <col min="49" max="49" width="7.42578125" style="3" customWidth="1"/>
    <col min="50" max="50" width="5.140625" style="3" customWidth="1"/>
    <col min="51" max="51" width="14.28515625" style="3" customWidth="1"/>
    <col min="52" max="52" width="10.140625" style="3" customWidth="1"/>
    <col min="53" max="53" width="5.5703125" style="3" customWidth="1"/>
    <col min="54" max="54" width="6.5703125" style="3" customWidth="1"/>
    <col min="55" max="55" width="16.42578125" style="3" customWidth="1"/>
    <col min="56" max="56" width="14.42578125" style="3" customWidth="1"/>
    <col min="57" max="57" width="10" style="3" customWidth="1"/>
    <col min="58" max="58" width="14.42578125" style="3" customWidth="1"/>
    <col min="59" max="59" width="10.7109375" style="3" customWidth="1"/>
    <col min="60" max="60" width="11.5703125" style="3" customWidth="1"/>
    <col min="61" max="61" width="7.85546875" style="3" customWidth="1"/>
    <col min="62" max="62" width="9.7109375" style="3" customWidth="1"/>
    <col min="63" max="63" width="12.7109375" style="3" customWidth="1"/>
    <col min="64" max="66" width="13.28515625" style="3" customWidth="1"/>
    <col min="67" max="16384" width="9.140625" style="3"/>
  </cols>
  <sheetData>
    <row r="1" spans="1:71" ht="15.75">
      <c r="A1" s="34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166" t="s">
        <v>284</v>
      </c>
      <c r="BG1" s="166"/>
      <c r="BH1" s="166"/>
      <c r="BI1" s="166"/>
      <c r="BJ1" s="166"/>
      <c r="BK1" s="166"/>
      <c r="BL1" s="31"/>
      <c r="BM1" s="31"/>
      <c r="BN1" s="31"/>
    </row>
    <row r="2" spans="1:71" ht="15.75">
      <c r="A2" s="3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166" t="s">
        <v>451</v>
      </c>
      <c r="BG2" s="166"/>
      <c r="BH2" s="166"/>
      <c r="BI2" s="166"/>
      <c r="BJ2" s="166"/>
      <c r="BK2" s="166"/>
      <c r="BL2" s="31"/>
      <c r="BM2" s="31"/>
      <c r="BN2" s="31"/>
    </row>
    <row r="3" spans="1:71" ht="15.75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71" s="4" customFormat="1" ht="15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166" t="s">
        <v>253</v>
      </c>
      <c r="BG4" s="166"/>
      <c r="BH4" s="166"/>
      <c r="BI4" s="166"/>
      <c r="BJ4" s="166"/>
      <c r="BK4" s="166"/>
      <c r="BL4" s="31"/>
      <c r="BM4" s="31"/>
      <c r="BN4" s="31"/>
    </row>
    <row r="5" spans="1:71" s="4" customFormat="1" ht="15.75">
      <c r="A5" s="3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AY5" s="31"/>
      <c r="AZ5" s="31"/>
      <c r="BA5" s="31"/>
      <c r="BB5" s="31"/>
      <c r="BC5" s="31"/>
      <c r="BD5" s="31"/>
      <c r="BE5" s="31"/>
      <c r="BF5" s="166" t="s">
        <v>464</v>
      </c>
      <c r="BG5" s="166"/>
      <c r="BH5" s="166"/>
      <c r="BI5" s="166"/>
      <c r="BJ5" s="166"/>
      <c r="BK5" s="166"/>
      <c r="BL5" s="31"/>
      <c r="BM5" s="31"/>
      <c r="BN5" s="31"/>
    </row>
    <row r="6" spans="1:71" s="4" customFormat="1" ht="15.7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AY6" s="31"/>
      <c r="AZ6" s="31"/>
      <c r="BA6" s="31"/>
      <c r="BB6" s="31"/>
      <c r="BC6" s="31"/>
      <c r="BD6" s="31"/>
      <c r="BE6" s="31"/>
      <c r="BF6" s="166" t="s">
        <v>465</v>
      </c>
      <c r="BG6" s="166"/>
      <c r="BH6" s="166"/>
      <c r="BI6" s="166"/>
      <c r="BJ6" s="166"/>
      <c r="BK6" s="166"/>
      <c r="BL6" s="31"/>
      <c r="BM6" s="31"/>
      <c r="BN6" s="31"/>
    </row>
    <row r="7" spans="1:71" s="4" customFormat="1" ht="15.75">
      <c r="A7" s="35"/>
      <c r="B7" s="31"/>
      <c r="C7" s="31"/>
      <c r="D7" s="31"/>
      <c r="E7" s="31"/>
      <c r="F7" s="31"/>
      <c r="G7" s="31"/>
      <c r="Q7" s="167" t="s">
        <v>215</v>
      </c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</row>
    <row r="8" spans="1:71" s="4" customFormat="1" ht="17.25" customHeight="1">
      <c r="A8" s="34"/>
      <c r="B8" s="31"/>
      <c r="C8" s="31"/>
      <c r="D8" s="31"/>
      <c r="E8" s="31"/>
      <c r="F8" s="31"/>
      <c r="G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166" t="s">
        <v>463</v>
      </c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</row>
    <row r="9" spans="1:71" s="4" customFormat="1" ht="16.5" thickBot="1">
      <c r="A9" s="3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</row>
    <row r="10" spans="1:71" ht="15.75" customHeight="1">
      <c r="A10" s="175" t="s">
        <v>96</v>
      </c>
      <c r="B10" s="178" t="s">
        <v>95</v>
      </c>
      <c r="C10" s="178" t="s">
        <v>7</v>
      </c>
      <c r="D10" s="172" t="s">
        <v>329</v>
      </c>
      <c r="E10" s="172" t="s">
        <v>330</v>
      </c>
      <c r="F10" s="172" t="s">
        <v>67</v>
      </c>
      <c r="G10" s="172" t="s">
        <v>68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89" t="s">
        <v>72</v>
      </c>
      <c r="S10" s="190"/>
      <c r="T10" s="189" t="s">
        <v>73</v>
      </c>
      <c r="U10" s="190"/>
      <c r="V10" s="189" t="s">
        <v>74</v>
      </c>
      <c r="W10" s="190"/>
      <c r="X10" s="172" t="s">
        <v>77</v>
      </c>
      <c r="Y10" s="169" t="s">
        <v>291</v>
      </c>
      <c r="Z10" s="169" t="s">
        <v>292</v>
      </c>
      <c r="AA10" s="169" t="s">
        <v>293</v>
      </c>
      <c r="AB10" s="169" t="s">
        <v>294</v>
      </c>
      <c r="AC10" s="172" t="s">
        <v>328</v>
      </c>
      <c r="AD10" s="172" t="s">
        <v>448</v>
      </c>
      <c r="AE10" s="172" t="s">
        <v>458</v>
      </c>
      <c r="AF10" s="172" t="s">
        <v>80</v>
      </c>
      <c r="AG10" s="172" t="s">
        <v>79</v>
      </c>
      <c r="AH10" s="172" t="s">
        <v>94</v>
      </c>
      <c r="AI10" s="172"/>
      <c r="AJ10" s="172"/>
      <c r="AK10" s="172"/>
      <c r="AL10" s="172"/>
      <c r="AM10" s="172" t="s">
        <v>186</v>
      </c>
      <c r="AN10" s="172" t="s">
        <v>180</v>
      </c>
      <c r="AO10" s="172" t="s">
        <v>185</v>
      </c>
      <c r="AP10" s="172" t="s">
        <v>181</v>
      </c>
      <c r="AQ10" s="172" t="s">
        <v>182</v>
      </c>
      <c r="AR10" s="172" t="s">
        <v>183</v>
      </c>
      <c r="AS10" s="172" t="s">
        <v>86</v>
      </c>
      <c r="AT10" s="172" t="s">
        <v>87</v>
      </c>
      <c r="AU10" s="178" t="s">
        <v>192</v>
      </c>
      <c r="AV10" s="172" t="s">
        <v>88</v>
      </c>
      <c r="AW10" s="172" t="s">
        <v>193</v>
      </c>
      <c r="AX10" s="172" t="s">
        <v>89</v>
      </c>
      <c r="AY10" s="186" t="s">
        <v>194</v>
      </c>
      <c r="AZ10" s="172" t="s">
        <v>90</v>
      </c>
      <c r="BA10" s="172" t="s">
        <v>91</v>
      </c>
      <c r="BB10" s="172" t="s">
        <v>92</v>
      </c>
      <c r="BC10" s="172" t="s">
        <v>459</v>
      </c>
      <c r="BD10" s="183" t="s">
        <v>460</v>
      </c>
      <c r="BE10" s="172" t="s">
        <v>233</v>
      </c>
      <c r="BF10" s="183" t="s">
        <v>461</v>
      </c>
      <c r="BG10" s="169" t="s">
        <v>331</v>
      </c>
      <c r="BH10" s="172" t="s">
        <v>214</v>
      </c>
      <c r="BI10" s="172" t="s">
        <v>299</v>
      </c>
      <c r="BJ10" s="195" t="s">
        <v>93</v>
      </c>
      <c r="BK10" s="198" t="s">
        <v>213</v>
      </c>
      <c r="BL10" s="60"/>
      <c r="BM10" s="60"/>
      <c r="BN10" s="60"/>
      <c r="BO10" s="36"/>
      <c r="BP10" s="37"/>
    </row>
    <row r="11" spans="1:71" ht="90" customHeight="1">
      <c r="A11" s="176"/>
      <c r="B11" s="179"/>
      <c r="C11" s="179"/>
      <c r="D11" s="181"/>
      <c r="E11" s="181"/>
      <c r="F11" s="173"/>
      <c r="G11" s="32" t="s">
        <v>69</v>
      </c>
      <c r="H11" s="32"/>
      <c r="I11" s="173" t="s">
        <v>218</v>
      </c>
      <c r="J11" s="173"/>
      <c r="K11" s="181" t="s">
        <v>70</v>
      </c>
      <c r="L11" s="181"/>
      <c r="M11" s="173" t="s">
        <v>71</v>
      </c>
      <c r="N11" s="173" t="s">
        <v>8</v>
      </c>
      <c r="O11" s="173"/>
      <c r="P11" s="173" t="s">
        <v>78</v>
      </c>
      <c r="Q11" s="173"/>
      <c r="R11" s="191"/>
      <c r="S11" s="192"/>
      <c r="T11" s="191"/>
      <c r="U11" s="192"/>
      <c r="V11" s="191"/>
      <c r="W11" s="192"/>
      <c r="X11" s="173"/>
      <c r="Y11" s="170"/>
      <c r="Z11" s="170"/>
      <c r="AA11" s="170"/>
      <c r="AB11" s="170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93"/>
      <c r="AV11" s="173"/>
      <c r="AW11" s="173"/>
      <c r="AX11" s="173"/>
      <c r="AY11" s="187"/>
      <c r="AZ11" s="173"/>
      <c r="BA11" s="173"/>
      <c r="BB11" s="173"/>
      <c r="BC11" s="173"/>
      <c r="BD11" s="184"/>
      <c r="BE11" s="173"/>
      <c r="BF11" s="184"/>
      <c r="BG11" s="170"/>
      <c r="BH11" s="173"/>
      <c r="BI11" s="173"/>
      <c r="BJ11" s="196"/>
      <c r="BK11" s="199"/>
      <c r="BL11" s="60"/>
      <c r="BM11" s="60"/>
      <c r="BN11" s="60"/>
      <c r="BO11" s="36"/>
      <c r="BP11" s="37"/>
    </row>
    <row r="12" spans="1:71" ht="206.25" customHeight="1" thickBot="1">
      <c r="A12" s="177"/>
      <c r="B12" s="180"/>
      <c r="C12" s="180"/>
      <c r="D12" s="182"/>
      <c r="E12" s="182"/>
      <c r="F12" s="174"/>
      <c r="G12" s="58" t="s">
        <v>75</v>
      </c>
      <c r="H12" s="59" t="s">
        <v>76</v>
      </c>
      <c r="I12" s="58" t="s">
        <v>75</v>
      </c>
      <c r="J12" s="59" t="s">
        <v>76</v>
      </c>
      <c r="K12" s="58" t="s">
        <v>75</v>
      </c>
      <c r="L12" s="59" t="s">
        <v>76</v>
      </c>
      <c r="M12" s="174"/>
      <c r="N12" s="58" t="s">
        <v>75</v>
      </c>
      <c r="O12" s="59" t="s">
        <v>76</v>
      </c>
      <c r="P12" s="58" t="s">
        <v>75</v>
      </c>
      <c r="Q12" s="59" t="s">
        <v>76</v>
      </c>
      <c r="R12" s="58" t="s">
        <v>75</v>
      </c>
      <c r="S12" s="59" t="s">
        <v>76</v>
      </c>
      <c r="T12" s="58" t="s">
        <v>75</v>
      </c>
      <c r="U12" s="59" t="s">
        <v>76</v>
      </c>
      <c r="V12" s="58" t="s">
        <v>75</v>
      </c>
      <c r="W12" s="59" t="s">
        <v>76</v>
      </c>
      <c r="X12" s="174"/>
      <c r="Y12" s="171"/>
      <c r="Z12" s="171"/>
      <c r="AA12" s="171"/>
      <c r="AB12" s="171"/>
      <c r="AC12" s="174"/>
      <c r="AD12" s="174"/>
      <c r="AE12" s="174"/>
      <c r="AF12" s="174"/>
      <c r="AG12" s="174"/>
      <c r="AH12" s="57" t="s">
        <v>221</v>
      </c>
      <c r="AI12" s="57" t="s">
        <v>10</v>
      </c>
      <c r="AJ12" s="57" t="s">
        <v>220</v>
      </c>
      <c r="AK12" s="57" t="s">
        <v>219</v>
      </c>
      <c r="AL12" s="57" t="s">
        <v>12</v>
      </c>
      <c r="AM12" s="174"/>
      <c r="AN12" s="174"/>
      <c r="AO12" s="174"/>
      <c r="AP12" s="174"/>
      <c r="AQ12" s="174"/>
      <c r="AR12" s="174"/>
      <c r="AS12" s="174"/>
      <c r="AT12" s="174"/>
      <c r="AU12" s="194"/>
      <c r="AV12" s="174"/>
      <c r="AW12" s="174"/>
      <c r="AX12" s="174"/>
      <c r="AY12" s="188"/>
      <c r="AZ12" s="174"/>
      <c r="BA12" s="174"/>
      <c r="BB12" s="174"/>
      <c r="BC12" s="174"/>
      <c r="BD12" s="185"/>
      <c r="BE12" s="174"/>
      <c r="BF12" s="185"/>
      <c r="BG12" s="171"/>
      <c r="BH12" s="174"/>
      <c r="BI12" s="174"/>
      <c r="BJ12" s="197"/>
      <c r="BK12" s="200"/>
      <c r="BL12" s="60"/>
      <c r="BM12" s="60"/>
      <c r="BN12" s="60"/>
      <c r="BO12" s="36"/>
      <c r="BP12" s="37"/>
    </row>
    <row r="13" spans="1:71" s="38" customFormat="1" ht="16.5" thickBot="1">
      <c r="A13" s="81" t="s">
        <v>81</v>
      </c>
      <c r="B13" s="83">
        <v>2</v>
      </c>
      <c r="C13" s="83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  <c r="I13" s="83">
        <v>9</v>
      </c>
      <c r="J13" s="83">
        <v>10</v>
      </c>
      <c r="K13" s="83">
        <v>11</v>
      </c>
      <c r="L13" s="83">
        <v>12</v>
      </c>
      <c r="M13" s="83">
        <v>13</v>
      </c>
      <c r="N13" s="83">
        <v>14</v>
      </c>
      <c r="O13" s="83">
        <v>15</v>
      </c>
      <c r="P13" s="83">
        <v>16</v>
      </c>
      <c r="Q13" s="83">
        <v>17</v>
      </c>
      <c r="R13" s="83">
        <v>18</v>
      </c>
      <c r="S13" s="83">
        <v>19</v>
      </c>
      <c r="T13" s="83">
        <v>20</v>
      </c>
      <c r="U13" s="83">
        <v>21</v>
      </c>
      <c r="V13" s="83">
        <v>22</v>
      </c>
      <c r="W13" s="83">
        <v>23</v>
      </c>
      <c r="X13" s="83">
        <v>24</v>
      </c>
      <c r="Y13" s="83">
        <v>25</v>
      </c>
      <c r="Z13" s="83">
        <v>26</v>
      </c>
      <c r="AA13" s="83">
        <v>27</v>
      </c>
      <c r="AB13" s="83">
        <v>28</v>
      </c>
      <c r="AC13" s="101">
        <v>29</v>
      </c>
      <c r="AD13" s="101">
        <v>30</v>
      </c>
      <c r="AE13" s="101">
        <v>31</v>
      </c>
      <c r="AF13" s="101">
        <v>32</v>
      </c>
      <c r="AG13" s="102">
        <v>33</v>
      </c>
      <c r="AH13" s="102">
        <v>34</v>
      </c>
      <c r="AI13" s="102">
        <v>35</v>
      </c>
      <c r="AJ13" s="102">
        <v>36</v>
      </c>
      <c r="AK13" s="102">
        <v>37</v>
      </c>
      <c r="AL13" s="102">
        <v>38</v>
      </c>
      <c r="AM13" s="102">
        <v>39</v>
      </c>
      <c r="AN13" s="102">
        <v>40</v>
      </c>
      <c r="AO13" s="102">
        <v>41</v>
      </c>
      <c r="AP13" s="102">
        <v>42</v>
      </c>
      <c r="AQ13" s="102">
        <v>43</v>
      </c>
      <c r="AR13" s="103">
        <v>44</v>
      </c>
      <c r="AS13" s="103">
        <v>45</v>
      </c>
      <c r="AT13" s="103">
        <v>46</v>
      </c>
      <c r="AU13" s="103">
        <v>47</v>
      </c>
      <c r="AV13" s="103">
        <v>48</v>
      </c>
      <c r="AW13" s="103">
        <v>49</v>
      </c>
      <c r="AX13" s="103">
        <v>50</v>
      </c>
      <c r="AY13" s="103">
        <v>51</v>
      </c>
      <c r="AZ13" s="103">
        <v>52</v>
      </c>
      <c r="BA13" s="103">
        <v>53</v>
      </c>
      <c r="BB13" s="103">
        <v>54</v>
      </c>
      <c r="BC13" s="103">
        <v>55</v>
      </c>
      <c r="BD13" s="103">
        <v>56</v>
      </c>
      <c r="BE13" s="103">
        <v>57</v>
      </c>
      <c r="BF13" s="103">
        <v>58</v>
      </c>
      <c r="BG13" s="104">
        <v>59</v>
      </c>
      <c r="BH13" s="104">
        <v>60</v>
      </c>
      <c r="BI13" s="104">
        <v>61</v>
      </c>
      <c r="BJ13" s="104">
        <v>62</v>
      </c>
      <c r="BK13" s="105">
        <v>63</v>
      </c>
      <c r="BL13" s="61"/>
      <c r="BM13" s="61"/>
      <c r="BN13" s="61"/>
    </row>
    <row r="14" spans="1:71" ht="66.75" customHeight="1">
      <c r="A14" s="73" t="s">
        <v>81</v>
      </c>
      <c r="B14" s="49" t="s">
        <v>13</v>
      </c>
      <c r="C14" s="49" t="s">
        <v>14</v>
      </c>
      <c r="D14" s="49" t="s">
        <v>332</v>
      </c>
      <c r="E14" s="49">
        <v>6</v>
      </c>
      <c r="F14" s="50">
        <v>77.14</v>
      </c>
      <c r="G14" s="49">
        <v>12</v>
      </c>
      <c r="H14" s="51">
        <f>F14*G14/100</f>
        <v>9.2568000000000001</v>
      </c>
      <c r="I14" s="49"/>
      <c r="J14" s="49">
        <f>F14*I14/100</f>
        <v>0</v>
      </c>
      <c r="K14" s="49"/>
      <c r="L14" s="49">
        <f>F14*K14/100</f>
        <v>0</v>
      </c>
      <c r="M14" s="49"/>
      <c r="N14" s="49"/>
      <c r="O14" s="49">
        <f>F14*N14/100</f>
        <v>0</v>
      </c>
      <c r="P14" s="49"/>
      <c r="Q14" s="49"/>
      <c r="R14" s="49">
        <v>40</v>
      </c>
      <c r="S14" s="49">
        <f>(F14+H14+J14+L14+M14+O14+Q14)*R14/100</f>
        <v>34.558720000000001</v>
      </c>
      <c r="T14" s="49">
        <v>30</v>
      </c>
      <c r="U14" s="49">
        <f>(F14+H14+J14+L14+M14+O14+Q14+S14)*30/100</f>
        <v>36.286656000000001</v>
      </c>
      <c r="V14" s="49">
        <v>30</v>
      </c>
      <c r="W14" s="49">
        <f>U14</f>
        <v>36.286656000000001</v>
      </c>
      <c r="X14" s="126">
        <f>F14+H14+J14+L14+M14+O14+Q14+S14+U14+W14</f>
        <v>193.52883199999999</v>
      </c>
      <c r="Y14" s="126">
        <f>3000/1970</f>
        <v>1.5228426395939085</v>
      </c>
      <c r="Z14" s="126">
        <f>X14*0.06</f>
        <v>11.611729919999998</v>
      </c>
      <c r="AA14" s="126">
        <f>X14*0.07</f>
        <v>13.547018240000002</v>
      </c>
      <c r="AB14" s="126">
        <f>X14+Y14+Z14+AA14</f>
        <v>220.21042279959389</v>
      </c>
      <c r="AC14" s="126">
        <f>AB14*0.302</f>
        <v>66.503547685477358</v>
      </c>
      <c r="AD14" s="126">
        <f>AB14*0.098</f>
        <v>21.5806214343602</v>
      </c>
      <c r="AE14" s="126">
        <f>AB14*1.0133*0.05</f>
        <v>11.156961071141426</v>
      </c>
      <c r="AF14" s="126" t="s">
        <v>97</v>
      </c>
      <c r="AG14" s="127">
        <v>32.83</v>
      </c>
      <c r="AH14" s="126">
        <v>15</v>
      </c>
      <c r="AI14" s="128">
        <v>15</v>
      </c>
      <c r="AJ14" s="128">
        <v>16.05</v>
      </c>
      <c r="AK14" s="128">
        <v>17.7</v>
      </c>
      <c r="AL14" s="126">
        <f>(AI14*7+AJ14*2+AK14*3)/12</f>
        <v>15.85</v>
      </c>
      <c r="AM14" s="126">
        <f>AG14*AL14</f>
        <v>520.35550000000001</v>
      </c>
      <c r="AN14" s="126"/>
      <c r="AO14" s="126"/>
      <c r="AP14" s="126"/>
      <c r="AQ14" s="126">
        <f>AG14*AO14*AP14</f>
        <v>0</v>
      </c>
      <c r="AR14" s="126">
        <f>AM14+AQ14</f>
        <v>520.35550000000001</v>
      </c>
      <c r="AS14" s="126"/>
      <c r="AT14" s="126"/>
      <c r="AU14" s="126"/>
      <c r="AV14" s="126"/>
      <c r="AW14" s="126"/>
      <c r="AX14" s="126"/>
      <c r="AY14" s="126" t="s">
        <v>195</v>
      </c>
      <c r="AZ14" s="126">
        <v>7523.73</v>
      </c>
      <c r="BA14" s="126">
        <v>6</v>
      </c>
      <c r="BB14" s="126">
        <f>AZ14*BA14/2000</f>
        <v>22.571189999999998</v>
      </c>
      <c r="BC14" s="126">
        <v>48.62</v>
      </c>
      <c r="BD14" s="126">
        <v>17.510000000000002</v>
      </c>
      <c r="BE14" s="126"/>
      <c r="BF14" s="126">
        <v>5.19</v>
      </c>
      <c r="BG14" s="126"/>
      <c r="BH14" s="148">
        <f>AB14+AC14+AD14+AR14+AV14+BB14+BC14+BD14+BE14+BF14+BG14</f>
        <v>922.54128191943141</v>
      </c>
      <c r="BI14" s="126">
        <f>AB14*0.2</f>
        <v>44.042084559918777</v>
      </c>
      <c r="BJ14" s="148">
        <f>BH14+AE14+BI14</f>
        <v>977.74032755049154</v>
      </c>
      <c r="BK14" s="153">
        <f>BH14-AD14</f>
        <v>900.96066048507123</v>
      </c>
      <c r="BL14" s="62"/>
      <c r="BM14" s="62"/>
      <c r="BN14" s="62"/>
      <c r="BO14" s="39"/>
      <c r="BS14" s="48"/>
    </row>
    <row r="15" spans="1:71" ht="66.75" customHeight="1">
      <c r="A15" s="40" t="s">
        <v>103</v>
      </c>
      <c r="B15" s="52" t="s">
        <v>254</v>
      </c>
      <c r="C15" s="52" t="s">
        <v>17</v>
      </c>
      <c r="D15" s="52" t="s">
        <v>334</v>
      </c>
      <c r="E15" s="52">
        <v>6</v>
      </c>
      <c r="F15" s="53">
        <v>77.14</v>
      </c>
      <c r="G15" s="52">
        <v>4</v>
      </c>
      <c r="H15" s="54">
        <f>F15*G15/100</f>
        <v>3.0855999999999999</v>
      </c>
      <c r="I15" s="52"/>
      <c r="J15" s="52">
        <f>F15*I15/100</f>
        <v>0</v>
      </c>
      <c r="K15" s="52"/>
      <c r="L15" s="52">
        <f>F15*K15/100</f>
        <v>0</v>
      </c>
      <c r="M15" s="52"/>
      <c r="N15" s="52"/>
      <c r="O15" s="52">
        <f>F15*N15/100</f>
        <v>0</v>
      </c>
      <c r="P15" s="52"/>
      <c r="Q15" s="52"/>
      <c r="R15" s="52">
        <v>40</v>
      </c>
      <c r="S15" s="52">
        <f>(F15+H15+J15+L15+M15+O15+Q15)*R15/100</f>
        <v>32.090240000000001</v>
      </c>
      <c r="T15" s="52">
        <v>30</v>
      </c>
      <c r="U15" s="52">
        <f>(F15+H15+J15+L15+M15+O15+Q15+S15)*30/100</f>
        <v>33.694752000000001</v>
      </c>
      <c r="V15" s="52">
        <v>30</v>
      </c>
      <c r="W15" s="52">
        <f>U15</f>
        <v>33.694752000000001</v>
      </c>
      <c r="X15" s="106">
        <f>F15+H15+J15+L15+M15+O15+Q15+S15+U15+W15</f>
        <v>179.705344</v>
      </c>
      <c r="Y15" s="106">
        <f t="shared" ref="Y15:Y46" si="0">3000/1970</f>
        <v>1.5228426395939085</v>
      </c>
      <c r="Z15" s="106">
        <f>X15*0.06</f>
        <v>10.78232064</v>
      </c>
      <c r="AA15" s="106">
        <f>X15*0.07</f>
        <v>12.579374080000001</v>
      </c>
      <c r="AB15" s="106">
        <f>X15+Y15+Z15+AA15</f>
        <v>204.5898813595939</v>
      </c>
      <c r="AC15" s="106">
        <f>AB15*0.302</f>
        <v>61.786144170597353</v>
      </c>
      <c r="AD15" s="106">
        <f t="shared" ref="AD15:AD75" si="1">AB15*0.098</f>
        <v>20.049808373240204</v>
      </c>
      <c r="AE15" s="106">
        <f t="shared" ref="AE15:AE75" si="2">AB15*1.0133*0.05</f>
        <v>10.365546339083828</v>
      </c>
      <c r="AF15" s="106" t="s">
        <v>97</v>
      </c>
      <c r="AG15" s="129">
        <v>32.83</v>
      </c>
      <c r="AH15" s="106">
        <v>11.8</v>
      </c>
      <c r="AI15" s="130">
        <v>11.8</v>
      </c>
      <c r="AJ15" s="130">
        <v>11.8</v>
      </c>
      <c r="AK15" s="130">
        <v>13.923999999999999</v>
      </c>
      <c r="AL15" s="106">
        <f>(AI15*7+AJ15*2+AK15*3)/12</f>
        <v>12.331000000000001</v>
      </c>
      <c r="AM15" s="106">
        <f t="shared" ref="AM15:AM24" si="3">AG15*AL15</f>
        <v>404.82673</v>
      </c>
      <c r="AN15" s="106"/>
      <c r="AO15" s="106"/>
      <c r="AP15" s="106"/>
      <c r="AQ15" s="106">
        <f>AG15*AO15*AP15</f>
        <v>0</v>
      </c>
      <c r="AR15" s="106">
        <f>AM15+AQ15</f>
        <v>404.82673</v>
      </c>
      <c r="AS15" s="106" t="s">
        <v>187</v>
      </c>
      <c r="AT15" s="106">
        <v>52.25</v>
      </c>
      <c r="AU15" s="106">
        <v>5.4</v>
      </c>
      <c r="AV15" s="106">
        <f t="shared" ref="AV15:AV24" si="4">AL15*AU15/100*AT15</f>
        <v>34.791916500000006</v>
      </c>
      <c r="AW15" s="106">
        <v>2000</v>
      </c>
      <c r="AX15" s="106"/>
      <c r="AY15" s="106" t="s">
        <v>201</v>
      </c>
      <c r="AZ15" s="106">
        <v>13876.27</v>
      </c>
      <c r="BA15" s="106">
        <v>6</v>
      </c>
      <c r="BB15" s="106">
        <f>AZ15*BA15/2000</f>
        <v>41.628809999999994</v>
      </c>
      <c r="BC15" s="106">
        <v>48.62</v>
      </c>
      <c r="BD15" s="106">
        <v>17.510000000000002</v>
      </c>
      <c r="BE15" s="106"/>
      <c r="BF15" s="106">
        <v>5.19</v>
      </c>
      <c r="BG15" s="106"/>
      <c r="BH15" s="149">
        <f>AB15+AC15+AD15+AR15+AV15+BB15+BC15+BD15+BE15+BF15</f>
        <v>838.9932904034315</v>
      </c>
      <c r="BI15" s="106">
        <f t="shared" ref="BI15:BI75" si="5">AB15*0.2</f>
        <v>40.917976271918782</v>
      </c>
      <c r="BJ15" s="149">
        <f>BH15+AE15+BI15</f>
        <v>890.27681301443408</v>
      </c>
      <c r="BK15" s="154">
        <f>BH15-AD15</f>
        <v>818.94348203019126</v>
      </c>
      <c r="BL15" s="62"/>
      <c r="BM15" s="62"/>
      <c r="BN15" s="62"/>
      <c r="BO15" s="39"/>
      <c r="BS15" s="48"/>
    </row>
    <row r="16" spans="1:71" ht="78.75">
      <c r="A16" s="41" t="s">
        <v>104</v>
      </c>
      <c r="B16" s="52" t="s">
        <v>18</v>
      </c>
      <c r="C16" s="52" t="s">
        <v>19</v>
      </c>
      <c r="D16" s="52" t="s">
        <v>333</v>
      </c>
      <c r="E16" s="52">
        <v>5</v>
      </c>
      <c r="F16" s="52">
        <v>70.55</v>
      </c>
      <c r="G16" s="52">
        <v>6</v>
      </c>
      <c r="H16" s="54">
        <f t="shared" ref="H16:H39" si="6">F16*G16/100</f>
        <v>4.2329999999999997</v>
      </c>
      <c r="I16" s="52"/>
      <c r="J16" s="52">
        <f t="shared" ref="J16:J39" si="7">F16*I16/100</f>
        <v>0</v>
      </c>
      <c r="K16" s="52"/>
      <c r="L16" s="52">
        <f t="shared" ref="L16:L39" si="8">F16*K16/100</f>
        <v>0</v>
      </c>
      <c r="M16" s="52"/>
      <c r="N16" s="52"/>
      <c r="O16" s="52">
        <f t="shared" ref="O16:O39" si="9">F16*N16/100</f>
        <v>0</v>
      </c>
      <c r="P16" s="52"/>
      <c r="Q16" s="52"/>
      <c r="R16" s="52">
        <v>40</v>
      </c>
      <c r="S16" s="52">
        <f t="shared" ref="S16:S39" si="10">(F16+H16+J16+L16+M16+O16+Q16)*R16/100</f>
        <v>29.913200000000003</v>
      </c>
      <c r="T16" s="52">
        <v>30</v>
      </c>
      <c r="U16" s="52">
        <f t="shared" ref="U16:U39" si="11">(F16+H16+J16+L16+M16+O16+Q16+S16)*30/100</f>
        <v>31.408860000000001</v>
      </c>
      <c r="V16" s="52">
        <v>30</v>
      </c>
      <c r="W16" s="52">
        <f t="shared" ref="W16:W39" si="12">U16</f>
        <v>31.408860000000001</v>
      </c>
      <c r="X16" s="106">
        <f t="shared" ref="X16:X39" si="13">F16+H16+J16+L16+M16+O16+Q16+S16+U16+W16</f>
        <v>167.51392000000001</v>
      </c>
      <c r="Y16" s="106">
        <f t="shared" si="0"/>
        <v>1.5228426395939085</v>
      </c>
      <c r="Z16" s="106">
        <f t="shared" ref="Z16:Z46" si="14">X16*0.06</f>
        <v>10.0508352</v>
      </c>
      <c r="AA16" s="106">
        <f t="shared" ref="AA16:AA46" si="15">X16*0.07</f>
        <v>11.725974400000002</v>
      </c>
      <c r="AB16" s="106">
        <f t="shared" ref="AB16:AB46" si="16">X16+Y16+Z16+AA16</f>
        <v>190.81357223959392</v>
      </c>
      <c r="AC16" s="106">
        <f>AB16*0.302</f>
        <v>57.625698816357364</v>
      </c>
      <c r="AD16" s="106">
        <f t="shared" si="1"/>
        <v>18.699730079480204</v>
      </c>
      <c r="AE16" s="106">
        <f t="shared" si="2"/>
        <v>9.6675696375190281</v>
      </c>
      <c r="AF16" s="106" t="s">
        <v>97</v>
      </c>
      <c r="AG16" s="129">
        <v>32.83</v>
      </c>
      <c r="AH16" s="130">
        <v>7</v>
      </c>
      <c r="AI16" s="130">
        <v>7</v>
      </c>
      <c r="AJ16" s="130">
        <v>7</v>
      </c>
      <c r="AK16" s="130">
        <v>8.26</v>
      </c>
      <c r="AL16" s="106">
        <f t="shared" ref="AL16:AL39" si="17">(AI16*7+AJ16*2+AK16*3)/12</f>
        <v>7.3150000000000004</v>
      </c>
      <c r="AM16" s="106">
        <f t="shared" si="3"/>
        <v>240.15145000000001</v>
      </c>
      <c r="AN16" s="106"/>
      <c r="AO16" s="106"/>
      <c r="AP16" s="106"/>
      <c r="AQ16" s="106">
        <f t="shared" ref="AQ16:AQ39" si="18">AG16*AO16*AP16</f>
        <v>0</v>
      </c>
      <c r="AR16" s="106">
        <f t="shared" ref="AR16:AR39" si="19">AM16+AQ16</f>
        <v>240.15145000000001</v>
      </c>
      <c r="AS16" s="106" t="s">
        <v>187</v>
      </c>
      <c r="AT16" s="106">
        <v>52.25</v>
      </c>
      <c r="AU16" s="106">
        <v>5.4</v>
      </c>
      <c r="AV16" s="106">
        <f t="shared" si="4"/>
        <v>20.639272500000001</v>
      </c>
      <c r="AW16" s="106">
        <v>2000</v>
      </c>
      <c r="AX16" s="106"/>
      <c r="AY16" s="106" t="s">
        <v>198</v>
      </c>
      <c r="AZ16" s="106" t="s">
        <v>199</v>
      </c>
      <c r="BA16" s="106" t="s">
        <v>200</v>
      </c>
      <c r="BB16" s="106">
        <f>34244.08/AW16</f>
        <v>17.122040000000002</v>
      </c>
      <c r="BC16" s="106">
        <f>48.62*(5.3277+0.20917)</f>
        <v>269.2026194</v>
      </c>
      <c r="BD16" s="106">
        <f>17.51*10</f>
        <v>175.10000000000002</v>
      </c>
      <c r="BE16" s="106">
        <v>25.19</v>
      </c>
      <c r="BF16" s="106">
        <v>5.19</v>
      </c>
      <c r="BG16" s="106"/>
      <c r="BH16" s="149">
        <f t="shared" ref="BH16:BH46" si="20">AB16+AC16+AD16+AR16+AV16+BB16+BC16+BD16+BE16+BF16</f>
        <v>1019.7343830354316</v>
      </c>
      <c r="BI16" s="106">
        <f t="shared" si="5"/>
        <v>38.162714447918788</v>
      </c>
      <c r="BJ16" s="149">
        <f t="shared" ref="BJ16:BJ43" si="21">BH16+AE16+BI16</f>
        <v>1067.5646671208694</v>
      </c>
      <c r="BK16" s="154">
        <f t="shared" ref="BK16:BK43" si="22">BH16-AD16</f>
        <v>1001.0346529559514</v>
      </c>
      <c r="BL16" s="62"/>
      <c r="BM16" s="62"/>
      <c r="BN16" s="62"/>
      <c r="BO16" s="39"/>
      <c r="BS16" s="48"/>
    </row>
    <row r="17" spans="1:71" ht="63">
      <c r="A17" s="41" t="s">
        <v>105</v>
      </c>
      <c r="B17" s="52" t="s">
        <v>20</v>
      </c>
      <c r="C17" s="52" t="s">
        <v>21</v>
      </c>
      <c r="D17" s="52" t="s">
        <v>335</v>
      </c>
      <c r="E17" s="52">
        <v>6</v>
      </c>
      <c r="F17" s="53">
        <v>77.14</v>
      </c>
      <c r="G17" s="52">
        <v>16</v>
      </c>
      <c r="H17" s="54">
        <f t="shared" si="6"/>
        <v>12.3424</v>
      </c>
      <c r="I17" s="52"/>
      <c r="J17" s="52">
        <f t="shared" si="7"/>
        <v>0</v>
      </c>
      <c r="K17" s="52"/>
      <c r="L17" s="52">
        <f t="shared" si="8"/>
        <v>0</v>
      </c>
      <c r="M17" s="52"/>
      <c r="N17" s="52"/>
      <c r="O17" s="52">
        <f t="shared" si="9"/>
        <v>0</v>
      </c>
      <c r="P17" s="52"/>
      <c r="Q17" s="52"/>
      <c r="R17" s="52">
        <v>40</v>
      </c>
      <c r="S17" s="52">
        <f t="shared" si="10"/>
        <v>35.792960000000001</v>
      </c>
      <c r="T17" s="52">
        <v>30</v>
      </c>
      <c r="U17" s="52">
        <f t="shared" si="11"/>
        <v>37.582608</v>
      </c>
      <c r="V17" s="52">
        <v>30</v>
      </c>
      <c r="W17" s="52">
        <f t="shared" si="12"/>
        <v>37.582608</v>
      </c>
      <c r="X17" s="106">
        <f t="shared" si="13"/>
        <v>200.44057599999999</v>
      </c>
      <c r="Y17" s="106">
        <f t="shared" si="0"/>
        <v>1.5228426395939085</v>
      </c>
      <c r="Z17" s="106">
        <f t="shared" si="14"/>
        <v>12.026434559999998</v>
      </c>
      <c r="AA17" s="106">
        <f t="shared" si="15"/>
        <v>14.030840320000001</v>
      </c>
      <c r="AB17" s="106">
        <f t="shared" si="16"/>
        <v>228.02069351959389</v>
      </c>
      <c r="AC17" s="106">
        <f>AB17*0.302</f>
        <v>68.86224944291736</v>
      </c>
      <c r="AD17" s="106">
        <f t="shared" si="1"/>
        <v>22.346027964920204</v>
      </c>
      <c r="AE17" s="106">
        <f t="shared" si="2"/>
        <v>11.552668437170226</v>
      </c>
      <c r="AF17" s="106" t="s">
        <v>97</v>
      </c>
      <c r="AG17" s="129">
        <v>32.83</v>
      </c>
      <c r="AH17" s="130">
        <v>9.8000000000000007</v>
      </c>
      <c r="AI17" s="130">
        <v>9.8000000000000007</v>
      </c>
      <c r="AJ17" s="130">
        <v>9.8000000000000007</v>
      </c>
      <c r="AK17" s="130">
        <v>11.564</v>
      </c>
      <c r="AL17" s="106">
        <f t="shared" si="17"/>
        <v>10.241000000000001</v>
      </c>
      <c r="AM17" s="106">
        <f t="shared" si="3"/>
        <v>336.21203000000003</v>
      </c>
      <c r="AN17" s="106"/>
      <c r="AO17" s="106"/>
      <c r="AP17" s="106"/>
      <c r="AQ17" s="106">
        <f t="shared" si="18"/>
        <v>0</v>
      </c>
      <c r="AR17" s="106">
        <f t="shared" si="19"/>
        <v>336.21203000000003</v>
      </c>
      <c r="AS17" s="106" t="s">
        <v>187</v>
      </c>
      <c r="AT17" s="106">
        <v>52.25</v>
      </c>
      <c r="AU17" s="106">
        <v>5.4</v>
      </c>
      <c r="AV17" s="106">
        <f t="shared" si="4"/>
        <v>28.894981500000007</v>
      </c>
      <c r="AW17" s="106">
        <v>2000</v>
      </c>
      <c r="AX17" s="106"/>
      <c r="AY17" s="106" t="s">
        <v>202</v>
      </c>
      <c r="AZ17" s="106">
        <v>10391.530000000001</v>
      </c>
      <c r="BA17" s="106">
        <v>4</v>
      </c>
      <c r="BB17" s="106">
        <f>AZ17*BA17/2000</f>
        <v>20.783060000000003</v>
      </c>
      <c r="BC17" s="106">
        <f>48.62*(1.5464+0.20917)</f>
        <v>85.355813400000002</v>
      </c>
      <c r="BD17" s="106">
        <f>17.51*10</f>
        <v>175.10000000000002</v>
      </c>
      <c r="BE17" s="106">
        <v>39.64</v>
      </c>
      <c r="BF17" s="106">
        <v>5.19</v>
      </c>
      <c r="BG17" s="106"/>
      <c r="BH17" s="149">
        <f t="shared" si="20"/>
        <v>1010.4048558274316</v>
      </c>
      <c r="BI17" s="106">
        <f t="shared" si="5"/>
        <v>45.604138703918778</v>
      </c>
      <c r="BJ17" s="149">
        <f t="shared" si="21"/>
        <v>1067.5616629685205</v>
      </c>
      <c r="BK17" s="154">
        <f t="shared" si="22"/>
        <v>988.05882786251141</v>
      </c>
      <c r="BL17" s="62"/>
      <c r="BM17" s="62"/>
      <c r="BN17" s="62"/>
      <c r="BO17" s="39"/>
      <c r="BS17" s="48"/>
    </row>
    <row r="18" spans="1:71" ht="78.75">
      <c r="A18" s="41" t="s">
        <v>106</v>
      </c>
      <c r="B18" s="55" t="s">
        <v>241</v>
      </c>
      <c r="C18" s="52" t="s">
        <v>243</v>
      </c>
      <c r="D18" s="52" t="s">
        <v>332</v>
      </c>
      <c r="E18" s="52">
        <v>6</v>
      </c>
      <c r="F18" s="53">
        <v>79.959999999999994</v>
      </c>
      <c r="G18" s="52">
        <v>0</v>
      </c>
      <c r="H18" s="54">
        <f t="shared" si="6"/>
        <v>0</v>
      </c>
      <c r="I18" s="52"/>
      <c r="J18" s="52">
        <f t="shared" si="7"/>
        <v>0</v>
      </c>
      <c r="K18" s="52"/>
      <c r="L18" s="52">
        <f t="shared" si="8"/>
        <v>0</v>
      </c>
      <c r="M18" s="52"/>
      <c r="N18" s="52"/>
      <c r="O18" s="52">
        <f t="shared" si="9"/>
        <v>0</v>
      </c>
      <c r="P18" s="52"/>
      <c r="Q18" s="52"/>
      <c r="R18" s="52">
        <v>40</v>
      </c>
      <c r="S18" s="52">
        <f t="shared" si="10"/>
        <v>31.983999999999995</v>
      </c>
      <c r="T18" s="52">
        <v>30</v>
      </c>
      <c r="U18" s="52">
        <f t="shared" si="11"/>
        <v>33.583199999999998</v>
      </c>
      <c r="V18" s="52">
        <v>30</v>
      </c>
      <c r="W18" s="52">
        <f t="shared" si="12"/>
        <v>33.583199999999998</v>
      </c>
      <c r="X18" s="106">
        <f t="shared" si="13"/>
        <v>179.1104</v>
      </c>
      <c r="Y18" s="106">
        <f t="shared" si="0"/>
        <v>1.5228426395939085</v>
      </c>
      <c r="Z18" s="106">
        <f t="shared" si="14"/>
        <v>10.746623999999999</v>
      </c>
      <c r="AA18" s="106">
        <f t="shared" si="15"/>
        <v>12.537728000000001</v>
      </c>
      <c r="AB18" s="106">
        <f t="shared" si="16"/>
        <v>203.91759463959391</v>
      </c>
      <c r="AC18" s="106">
        <f>AB18*0.302</f>
        <v>61.583113581157363</v>
      </c>
      <c r="AD18" s="106">
        <f t="shared" si="1"/>
        <v>19.983924274680206</v>
      </c>
      <c r="AE18" s="106">
        <f t="shared" si="2"/>
        <v>10.331484932415027</v>
      </c>
      <c r="AF18" s="106" t="s">
        <v>97</v>
      </c>
      <c r="AG18" s="129">
        <v>32.83</v>
      </c>
      <c r="AH18" s="130">
        <v>12</v>
      </c>
      <c r="AI18" s="130">
        <v>12</v>
      </c>
      <c r="AJ18" s="130">
        <v>12.84</v>
      </c>
      <c r="AK18" s="130">
        <v>14.16</v>
      </c>
      <c r="AL18" s="106">
        <f t="shared" si="17"/>
        <v>12.680000000000001</v>
      </c>
      <c r="AM18" s="106">
        <f t="shared" si="3"/>
        <v>416.28440000000001</v>
      </c>
      <c r="AN18" s="106"/>
      <c r="AO18" s="106"/>
      <c r="AP18" s="106"/>
      <c r="AQ18" s="106">
        <f t="shared" si="18"/>
        <v>0</v>
      </c>
      <c r="AR18" s="106">
        <f t="shared" si="19"/>
        <v>416.28440000000001</v>
      </c>
      <c r="AS18" s="106" t="s">
        <v>290</v>
      </c>
      <c r="AT18" s="106">
        <v>157.66999999999999</v>
      </c>
      <c r="AU18" s="106">
        <v>4.5</v>
      </c>
      <c r="AV18" s="106">
        <f t="shared" si="4"/>
        <v>89.966502000000006</v>
      </c>
      <c r="AW18" s="106">
        <v>2000</v>
      </c>
      <c r="AX18" s="106"/>
      <c r="AY18" s="106" t="s">
        <v>308</v>
      </c>
      <c r="AZ18" s="106">
        <v>9830.51</v>
      </c>
      <c r="BA18" s="106">
        <v>4</v>
      </c>
      <c r="BB18" s="106">
        <f>AZ18*BA18/2000</f>
        <v>19.661020000000001</v>
      </c>
      <c r="BC18" s="106">
        <v>48.62</v>
      </c>
      <c r="BD18" s="106">
        <v>17.510000000000002</v>
      </c>
      <c r="BE18" s="129">
        <f>1656.55/2</f>
        <v>828.27499999999998</v>
      </c>
      <c r="BF18" s="106">
        <v>5.19</v>
      </c>
      <c r="BG18" s="106"/>
      <c r="BH18" s="149">
        <f t="shared" si="20"/>
        <v>1710.9915544954315</v>
      </c>
      <c r="BI18" s="106">
        <f t="shared" si="5"/>
        <v>40.783518927918784</v>
      </c>
      <c r="BJ18" s="149">
        <f t="shared" si="21"/>
        <v>1762.1065583557652</v>
      </c>
      <c r="BK18" s="154">
        <f t="shared" si="22"/>
        <v>1691.0076302207513</v>
      </c>
      <c r="BL18" s="62"/>
      <c r="BM18" s="62"/>
      <c r="BN18" s="62"/>
      <c r="BO18" s="39"/>
      <c r="BS18" s="48"/>
    </row>
    <row r="19" spans="1:71" ht="78.75">
      <c r="A19" s="40" t="s">
        <v>107</v>
      </c>
      <c r="B19" s="55" t="s">
        <v>241</v>
      </c>
      <c r="C19" s="52" t="s">
        <v>244</v>
      </c>
      <c r="D19" s="52" t="s">
        <v>332</v>
      </c>
      <c r="E19" s="52">
        <v>6</v>
      </c>
      <c r="F19" s="53">
        <v>79.959999999999994</v>
      </c>
      <c r="G19" s="52">
        <v>0</v>
      </c>
      <c r="H19" s="54">
        <f t="shared" ref="H19:H24" si="23">F19*G19/100</f>
        <v>0</v>
      </c>
      <c r="I19" s="52"/>
      <c r="J19" s="52">
        <f t="shared" ref="J19:J24" si="24">F19*I19/100</f>
        <v>0</v>
      </c>
      <c r="K19" s="52"/>
      <c r="L19" s="52">
        <f t="shared" ref="L19:L24" si="25">F19*K19/100</f>
        <v>0</v>
      </c>
      <c r="M19" s="52"/>
      <c r="N19" s="52"/>
      <c r="O19" s="52">
        <f t="shared" ref="O19:O24" si="26">F19*N19/100</f>
        <v>0</v>
      </c>
      <c r="P19" s="52"/>
      <c r="Q19" s="52"/>
      <c r="R19" s="52">
        <v>40</v>
      </c>
      <c r="S19" s="52">
        <f t="shared" ref="S19:S24" si="27">(F19+H19+J19+L19+M19+O19+Q19)*R19/100</f>
        <v>31.983999999999995</v>
      </c>
      <c r="T19" s="52">
        <v>30</v>
      </c>
      <c r="U19" s="52">
        <f t="shared" ref="U19:U24" si="28">(F19+H19+J19+L19+M19+O19+Q19+S19)*30/100</f>
        <v>33.583199999999998</v>
      </c>
      <c r="V19" s="52">
        <v>30</v>
      </c>
      <c r="W19" s="52">
        <f t="shared" ref="W19:W24" si="29">U19</f>
        <v>33.583199999999998</v>
      </c>
      <c r="X19" s="106">
        <f t="shared" ref="X19:X24" si="30">F19+H19+J19+L19+M19+O19+Q19+S19+U19+W19</f>
        <v>179.1104</v>
      </c>
      <c r="Y19" s="106">
        <f t="shared" si="0"/>
        <v>1.5228426395939085</v>
      </c>
      <c r="Z19" s="106">
        <f t="shared" ref="Z19:Z24" si="31">X19*0.06</f>
        <v>10.746623999999999</v>
      </c>
      <c r="AA19" s="106">
        <f t="shared" ref="AA19:AA24" si="32">X19*0.07</f>
        <v>12.537728000000001</v>
      </c>
      <c r="AB19" s="106">
        <f t="shared" ref="AB19:AB24" si="33">X19+Y19+Z19+AA19</f>
        <v>203.91759463959391</v>
      </c>
      <c r="AC19" s="106">
        <f t="shared" ref="AC19:AC79" si="34">AB19*0.302</f>
        <v>61.583113581157363</v>
      </c>
      <c r="AD19" s="106">
        <f t="shared" si="1"/>
        <v>19.983924274680206</v>
      </c>
      <c r="AE19" s="106">
        <f t="shared" si="2"/>
        <v>10.331484932415027</v>
      </c>
      <c r="AF19" s="106" t="s">
        <v>97</v>
      </c>
      <c r="AG19" s="129">
        <v>32.83</v>
      </c>
      <c r="AH19" s="130">
        <v>15</v>
      </c>
      <c r="AI19" s="130">
        <v>15</v>
      </c>
      <c r="AJ19" s="130">
        <v>16.05</v>
      </c>
      <c r="AK19" s="130">
        <v>17.25</v>
      </c>
      <c r="AL19" s="106">
        <f t="shared" ref="AL19:AL24" si="35">(AI19*7+AJ19*2+AK19*3)/12</f>
        <v>15.737499999999999</v>
      </c>
      <c r="AM19" s="106">
        <f t="shared" si="3"/>
        <v>516.66212499999995</v>
      </c>
      <c r="AN19" s="106"/>
      <c r="AO19" s="106"/>
      <c r="AP19" s="106"/>
      <c r="AQ19" s="106">
        <f t="shared" ref="AQ19:AQ24" si="36">AG19*AO19*AP19</f>
        <v>0</v>
      </c>
      <c r="AR19" s="106">
        <f t="shared" ref="AR19:AR24" si="37">AM19+AQ19</f>
        <v>516.66212499999995</v>
      </c>
      <c r="AS19" s="106" t="s">
        <v>290</v>
      </c>
      <c r="AT19" s="106">
        <v>157.66999999999999</v>
      </c>
      <c r="AU19" s="106">
        <v>4.5</v>
      </c>
      <c r="AV19" s="106">
        <f t="shared" si="4"/>
        <v>111.65992312499999</v>
      </c>
      <c r="AW19" s="106">
        <v>2000</v>
      </c>
      <c r="AX19" s="106"/>
      <c r="AY19" s="106" t="s">
        <v>308</v>
      </c>
      <c r="AZ19" s="106">
        <v>9830.51</v>
      </c>
      <c r="BA19" s="106">
        <v>4</v>
      </c>
      <c r="BB19" s="106">
        <f>AZ19*BA19/2000</f>
        <v>19.661020000000001</v>
      </c>
      <c r="BC19" s="106">
        <v>48.62</v>
      </c>
      <c r="BD19" s="106">
        <v>17.510000000000002</v>
      </c>
      <c r="BE19" s="129">
        <f>1656.55/2</f>
        <v>828.27499999999998</v>
      </c>
      <c r="BF19" s="106">
        <v>5.19</v>
      </c>
      <c r="BG19" s="106"/>
      <c r="BH19" s="149">
        <f t="shared" ref="BH19:BH24" si="38">AB19+AC19+AD19+AR19+AV19+BB19+BC19+BD19+BE19+BF19</f>
        <v>1833.0627006204313</v>
      </c>
      <c r="BI19" s="106">
        <f t="shared" si="5"/>
        <v>40.783518927918784</v>
      </c>
      <c r="BJ19" s="149">
        <f t="shared" ref="BJ19:BJ24" si="39">BH19+AE19+BI19</f>
        <v>1884.177704480765</v>
      </c>
      <c r="BK19" s="154">
        <f t="shared" ref="BK19:BK24" si="40">BH19-AD19</f>
        <v>1813.0787763457511</v>
      </c>
      <c r="BL19" s="62"/>
      <c r="BM19" s="62"/>
      <c r="BN19" s="62"/>
      <c r="BO19" s="39"/>
      <c r="BS19" s="48"/>
    </row>
    <row r="20" spans="1:71" ht="78.75">
      <c r="A20" s="40" t="s">
        <v>108</v>
      </c>
      <c r="B20" s="55" t="s">
        <v>242</v>
      </c>
      <c r="C20" s="52" t="s">
        <v>245</v>
      </c>
      <c r="D20" s="52" t="s">
        <v>332</v>
      </c>
      <c r="E20" s="52">
        <v>6</v>
      </c>
      <c r="F20" s="53">
        <v>79.959999999999994</v>
      </c>
      <c r="G20" s="52">
        <v>0</v>
      </c>
      <c r="H20" s="54">
        <f t="shared" si="23"/>
        <v>0</v>
      </c>
      <c r="I20" s="52"/>
      <c r="J20" s="52">
        <f t="shared" si="24"/>
        <v>0</v>
      </c>
      <c r="K20" s="52"/>
      <c r="L20" s="52">
        <f t="shared" si="25"/>
        <v>0</v>
      </c>
      <c r="M20" s="52"/>
      <c r="N20" s="52"/>
      <c r="O20" s="52">
        <f t="shared" si="26"/>
        <v>0</v>
      </c>
      <c r="P20" s="52"/>
      <c r="Q20" s="52"/>
      <c r="R20" s="52">
        <v>40</v>
      </c>
      <c r="S20" s="52">
        <f t="shared" si="27"/>
        <v>31.983999999999995</v>
      </c>
      <c r="T20" s="52">
        <v>30</v>
      </c>
      <c r="U20" s="52">
        <f t="shared" si="28"/>
        <v>33.583199999999998</v>
      </c>
      <c r="V20" s="52">
        <v>30</v>
      </c>
      <c r="W20" s="52">
        <f t="shared" si="29"/>
        <v>33.583199999999998</v>
      </c>
      <c r="X20" s="106">
        <f t="shared" si="30"/>
        <v>179.1104</v>
      </c>
      <c r="Y20" s="106">
        <f t="shared" si="0"/>
        <v>1.5228426395939085</v>
      </c>
      <c r="Z20" s="106">
        <f t="shared" si="31"/>
        <v>10.746623999999999</v>
      </c>
      <c r="AA20" s="106">
        <f t="shared" si="32"/>
        <v>12.537728000000001</v>
      </c>
      <c r="AB20" s="106">
        <f t="shared" si="33"/>
        <v>203.91759463959391</v>
      </c>
      <c r="AC20" s="106">
        <f t="shared" si="34"/>
        <v>61.583113581157363</v>
      </c>
      <c r="AD20" s="106">
        <f t="shared" si="1"/>
        <v>19.983924274680206</v>
      </c>
      <c r="AE20" s="106">
        <f t="shared" si="2"/>
        <v>10.331484932415027</v>
      </c>
      <c r="AF20" s="106" t="s">
        <v>97</v>
      </c>
      <c r="AG20" s="129">
        <v>32.83</v>
      </c>
      <c r="AH20" s="130">
        <v>10</v>
      </c>
      <c r="AI20" s="130">
        <v>10</v>
      </c>
      <c r="AJ20" s="130">
        <v>10.700000000000001</v>
      </c>
      <c r="AK20" s="130">
        <v>11.5</v>
      </c>
      <c r="AL20" s="106">
        <f t="shared" si="35"/>
        <v>10.491666666666667</v>
      </c>
      <c r="AM20" s="106">
        <f t="shared" si="3"/>
        <v>344.44141666666667</v>
      </c>
      <c r="AN20" s="106"/>
      <c r="AO20" s="106"/>
      <c r="AP20" s="106"/>
      <c r="AQ20" s="106">
        <f t="shared" si="36"/>
        <v>0</v>
      </c>
      <c r="AR20" s="106">
        <f t="shared" si="37"/>
        <v>344.44141666666667</v>
      </c>
      <c r="AS20" s="106" t="s">
        <v>290</v>
      </c>
      <c r="AT20" s="106">
        <v>157.66999999999999</v>
      </c>
      <c r="AU20" s="106">
        <v>4.5</v>
      </c>
      <c r="AV20" s="106">
        <f t="shared" si="4"/>
        <v>74.439948749999999</v>
      </c>
      <c r="AW20" s="106">
        <v>2000</v>
      </c>
      <c r="AX20" s="106"/>
      <c r="AY20" s="106" t="s">
        <v>309</v>
      </c>
      <c r="AZ20" s="106" t="s">
        <v>310</v>
      </c>
      <c r="BA20" s="106" t="s">
        <v>311</v>
      </c>
      <c r="BB20" s="106">
        <v>27.18</v>
      </c>
      <c r="BC20" s="106">
        <v>48.62</v>
      </c>
      <c r="BD20" s="106">
        <v>17.510000000000002</v>
      </c>
      <c r="BE20" s="129">
        <v>716.81</v>
      </c>
      <c r="BF20" s="106">
        <v>5.19</v>
      </c>
      <c r="BG20" s="106"/>
      <c r="BH20" s="149">
        <f t="shared" si="38"/>
        <v>1519.675997912098</v>
      </c>
      <c r="BI20" s="106">
        <f t="shared" si="5"/>
        <v>40.783518927918784</v>
      </c>
      <c r="BJ20" s="149">
        <f t="shared" si="39"/>
        <v>1570.7910017724316</v>
      </c>
      <c r="BK20" s="154">
        <f t="shared" si="40"/>
        <v>1499.6920736374177</v>
      </c>
      <c r="BL20" s="62"/>
      <c r="BM20" s="62"/>
      <c r="BN20" s="62"/>
      <c r="BO20" s="39"/>
      <c r="BS20" s="48"/>
    </row>
    <row r="21" spans="1:71" ht="78.75">
      <c r="A21" s="40" t="s">
        <v>109</v>
      </c>
      <c r="B21" s="55" t="s">
        <v>242</v>
      </c>
      <c r="C21" s="52" t="s">
        <v>246</v>
      </c>
      <c r="D21" s="52" t="s">
        <v>332</v>
      </c>
      <c r="E21" s="52">
        <v>6</v>
      </c>
      <c r="F21" s="53">
        <v>79.959999999999994</v>
      </c>
      <c r="G21" s="52">
        <v>0</v>
      </c>
      <c r="H21" s="54">
        <f t="shared" si="23"/>
        <v>0</v>
      </c>
      <c r="I21" s="52"/>
      <c r="J21" s="52">
        <f t="shared" si="24"/>
        <v>0</v>
      </c>
      <c r="K21" s="52"/>
      <c r="L21" s="52">
        <f t="shared" si="25"/>
        <v>0</v>
      </c>
      <c r="M21" s="52"/>
      <c r="N21" s="52"/>
      <c r="O21" s="52">
        <f t="shared" si="26"/>
        <v>0</v>
      </c>
      <c r="P21" s="52"/>
      <c r="Q21" s="52"/>
      <c r="R21" s="52">
        <v>40</v>
      </c>
      <c r="S21" s="52">
        <f t="shared" si="27"/>
        <v>31.983999999999995</v>
      </c>
      <c r="T21" s="52">
        <v>30</v>
      </c>
      <c r="U21" s="52">
        <f t="shared" si="28"/>
        <v>33.583199999999998</v>
      </c>
      <c r="V21" s="52">
        <v>30</v>
      </c>
      <c r="W21" s="52">
        <f t="shared" si="29"/>
        <v>33.583199999999998</v>
      </c>
      <c r="X21" s="106">
        <f t="shared" si="30"/>
        <v>179.1104</v>
      </c>
      <c r="Y21" s="106">
        <f t="shared" si="0"/>
        <v>1.5228426395939085</v>
      </c>
      <c r="Z21" s="106">
        <f t="shared" si="31"/>
        <v>10.746623999999999</v>
      </c>
      <c r="AA21" s="106">
        <f t="shared" si="32"/>
        <v>12.537728000000001</v>
      </c>
      <c r="AB21" s="106">
        <f t="shared" si="33"/>
        <v>203.91759463959391</v>
      </c>
      <c r="AC21" s="106">
        <f t="shared" si="34"/>
        <v>61.583113581157363</v>
      </c>
      <c r="AD21" s="106">
        <f t="shared" si="1"/>
        <v>19.983924274680206</v>
      </c>
      <c r="AE21" s="106">
        <f t="shared" si="2"/>
        <v>10.331484932415027</v>
      </c>
      <c r="AF21" s="106" t="s">
        <v>97</v>
      </c>
      <c r="AG21" s="129">
        <v>32.83</v>
      </c>
      <c r="AH21" s="130">
        <v>9</v>
      </c>
      <c r="AI21" s="130">
        <v>9</v>
      </c>
      <c r="AJ21" s="130">
        <v>9.6300000000000008</v>
      </c>
      <c r="AK21" s="130">
        <v>10.62</v>
      </c>
      <c r="AL21" s="106">
        <f t="shared" si="35"/>
        <v>9.51</v>
      </c>
      <c r="AM21" s="106">
        <f t="shared" si="3"/>
        <v>312.2133</v>
      </c>
      <c r="AN21" s="106"/>
      <c r="AO21" s="106"/>
      <c r="AP21" s="106"/>
      <c r="AQ21" s="106">
        <f t="shared" si="36"/>
        <v>0</v>
      </c>
      <c r="AR21" s="106">
        <f t="shared" si="37"/>
        <v>312.2133</v>
      </c>
      <c r="AS21" s="106" t="s">
        <v>290</v>
      </c>
      <c r="AT21" s="106">
        <v>157.66999999999999</v>
      </c>
      <c r="AU21" s="106">
        <v>4.5</v>
      </c>
      <c r="AV21" s="106">
        <f t="shared" si="4"/>
        <v>67.474876499999993</v>
      </c>
      <c r="AW21" s="106">
        <v>2000</v>
      </c>
      <c r="AX21" s="106"/>
      <c r="AY21" s="106" t="s">
        <v>309</v>
      </c>
      <c r="AZ21" s="106" t="s">
        <v>310</v>
      </c>
      <c r="BA21" s="106" t="s">
        <v>311</v>
      </c>
      <c r="BB21" s="106">
        <v>27.18</v>
      </c>
      <c r="BC21" s="106">
        <v>48.62</v>
      </c>
      <c r="BD21" s="106">
        <v>17.510000000000002</v>
      </c>
      <c r="BE21" s="129">
        <v>716.81</v>
      </c>
      <c r="BF21" s="106">
        <v>5.19</v>
      </c>
      <c r="BG21" s="106"/>
      <c r="BH21" s="149">
        <f t="shared" si="38"/>
        <v>1480.4828089954315</v>
      </c>
      <c r="BI21" s="106">
        <f t="shared" si="5"/>
        <v>40.783518927918784</v>
      </c>
      <c r="BJ21" s="149">
        <f t="shared" si="39"/>
        <v>1531.5978128557651</v>
      </c>
      <c r="BK21" s="154">
        <f t="shared" si="40"/>
        <v>1460.4988847207512</v>
      </c>
      <c r="BL21" s="62"/>
      <c r="BM21" s="62"/>
      <c r="BN21" s="62"/>
      <c r="BO21" s="39"/>
      <c r="BS21" s="48"/>
    </row>
    <row r="22" spans="1:71" ht="78.75">
      <c r="A22" s="40" t="s">
        <v>110</v>
      </c>
      <c r="B22" s="55" t="s">
        <v>241</v>
      </c>
      <c r="C22" s="52" t="s">
        <v>307</v>
      </c>
      <c r="D22" s="52" t="s">
        <v>332</v>
      </c>
      <c r="E22" s="52">
        <v>6</v>
      </c>
      <c r="F22" s="53">
        <v>79.959999999999994</v>
      </c>
      <c r="G22" s="52">
        <v>0</v>
      </c>
      <c r="H22" s="54">
        <f t="shared" si="23"/>
        <v>0</v>
      </c>
      <c r="I22" s="52"/>
      <c r="J22" s="52">
        <f t="shared" si="24"/>
        <v>0</v>
      </c>
      <c r="K22" s="52"/>
      <c r="L22" s="52">
        <f t="shared" si="25"/>
        <v>0</v>
      </c>
      <c r="M22" s="52"/>
      <c r="N22" s="52"/>
      <c r="O22" s="52">
        <f t="shared" si="26"/>
        <v>0</v>
      </c>
      <c r="P22" s="52"/>
      <c r="Q22" s="52"/>
      <c r="R22" s="52">
        <v>40</v>
      </c>
      <c r="S22" s="52">
        <f t="shared" si="27"/>
        <v>31.983999999999995</v>
      </c>
      <c r="T22" s="52">
        <v>30</v>
      </c>
      <c r="U22" s="52">
        <f t="shared" si="28"/>
        <v>33.583199999999998</v>
      </c>
      <c r="V22" s="52">
        <v>30</v>
      </c>
      <c r="W22" s="52">
        <f t="shared" si="29"/>
        <v>33.583199999999998</v>
      </c>
      <c r="X22" s="106">
        <f t="shared" si="30"/>
        <v>179.1104</v>
      </c>
      <c r="Y22" s="106">
        <f t="shared" si="0"/>
        <v>1.5228426395939085</v>
      </c>
      <c r="Z22" s="106">
        <f t="shared" si="31"/>
        <v>10.746623999999999</v>
      </c>
      <c r="AA22" s="106">
        <f t="shared" si="32"/>
        <v>12.537728000000001</v>
      </c>
      <c r="AB22" s="106">
        <f t="shared" si="33"/>
        <v>203.91759463959391</v>
      </c>
      <c r="AC22" s="106">
        <f t="shared" si="34"/>
        <v>61.583113581157363</v>
      </c>
      <c r="AD22" s="106">
        <f t="shared" si="1"/>
        <v>19.983924274680206</v>
      </c>
      <c r="AE22" s="106">
        <f t="shared" si="2"/>
        <v>10.331484932415027</v>
      </c>
      <c r="AF22" s="106" t="s">
        <v>97</v>
      </c>
      <c r="AG22" s="129">
        <v>32.83</v>
      </c>
      <c r="AH22" s="130">
        <v>15</v>
      </c>
      <c r="AI22" s="130">
        <v>15</v>
      </c>
      <c r="AJ22" s="130">
        <v>16.05</v>
      </c>
      <c r="AK22" s="130">
        <v>17.25</v>
      </c>
      <c r="AL22" s="106">
        <f t="shared" si="35"/>
        <v>15.737499999999999</v>
      </c>
      <c r="AM22" s="106">
        <f t="shared" si="3"/>
        <v>516.66212499999995</v>
      </c>
      <c r="AN22" s="106"/>
      <c r="AO22" s="106"/>
      <c r="AP22" s="106"/>
      <c r="AQ22" s="106">
        <f t="shared" si="36"/>
        <v>0</v>
      </c>
      <c r="AR22" s="106">
        <f t="shared" si="37"/>
        <v>516.66212499999995</v>
      </c>
      <c r="AS22" s="106" t="s">
        <v>290</v>
      </c>
      <c r="AT22" s="106">
        <v>157.66999999999999</v>
      </c>
      <c r="AU22" s="106">
        <v>4.5</v>
      </c>
      <c r="AV22" s="106">
        <f t="shared" si="4"/>
        <v>111.65992312499999</v>
      </c>
      <c r="AW22" s="106">
        <v>2000</v>
      </c>
      <c r="AX22" s="106"/>
      <c r="AY22" s="106" t="s">
        <v>308</v>
      </c>
      <c r="AZ22" s="106">
        <v>9830.51</v>
      </c>
      <c r="BA22" s="106">
        <v>4</v>
      </c>
      <c r="BB22" s="106">
        <f>AZ22*BA22/2000</f>
        <v>19.661020000000001</v>
      </c>
      <c r="BC22" s="106">
        <v>48.62</v>
      </c>
      <c r="BD22" s="106">
        <v>17.510000000000002</v>
      </c>
      <c r="BE22" s="129">
        <f>1656.55/2</f>
        <v>828.27499999999998</v>
      </c>
      <c r="BF22" s="106">
        <v>5.19</v>
      </c>
      <c r="BG22" s="106"/>
      <c r="BH22" s="149">
        <f t="shared" si="38"/>
        <v>1833.0627006204313</v>
      </c>
      <c r="BI22" s="106">
        <f t="shared" si="5"/>
        <v>40.783518927918784</v>
      </c>
      <c r="BJ22" s="149">
        <f t="shared" si="39"/>
        <v>1884.177704480765</v>
      </c>
      <c r="BK22" s="154">
        <f t="shared" si="40"/>
        <v>1813.0787763457511</v>
      </c>
      <c r="BL22" s="62"/>
      <c r="BM22" s="62"/>
      <c r="BN22" s="62"/>
      <c r="BO22" s="39"/>
      <c r="BS22" s="48"/>
    </row>
    <row r="23" spans="1:71" ht="78.75">
      <c r="A23" s="40" t="s">
        <v>111</v>
      </c>
      <c r="B23" s="55" t="s">
        <v>302</v>
      </c>
      <c r="C23" s="52" t="s">
        <v>303</v>
      </c>
      <c r="D23" s="52" t="s">
        <v>332</v>
      </c>
      <c r="E23" s="52">
        <v>6</v>
      </c>
      <c r="F23" s="53">
        <v>79.959999999999994</v>
      </c>
      <c r="G23" s="52">
        <v>0</v>
      </c>
      <c r="H23" s="54">
        <f t="shared" si="23"/>
        <v>0</v>
      </c>
      <c r="I23" s="52"/>
      <c r="J23" s="52">
        <f t="shared" si="24"/>
        <v>0</v>
      </c>
      <c r="K23" s="52"/>
      <c r="L23" s="52">
        <f t="shared" si="25"/>
        <v>0</v>
      </c>
      <c r="M23" s="52"/>
      <c r="N23" s="52"/>
      <c r="O23" s="52">
        <f t="shared" si="26"/>
        <v>0</v>
      </c>
      <c r="P23" s="52"/>
      <c r="Q23" s="52"/>
      <c r="R23" s="52">
        <v>40</v>
      </c>
      <c r="S23" s="52">
        <f t="shared" si="27"/>
        <v>31.983999999999995</v>
      </c>
      <c r="T23" s="52">
        <v>30</v>
      </c>
      <c r="U23" s="52">
        <f t="shared" si="28"/>
        <v>33.583199999999998</v>
      </c>
      <c r="V23" s="52">
        <v>30</v>
      </c>
      <c r="W23" s="52">
        <f t="shared" si="29"/>
        <v>33.583199999999998</v>
      </c>
      <c r="X23" s="106">
        <f t="shared" si="30"/>
        <v>179.1104</v>
      </c>
      <c r="Y23" s="106">
        <f t="shared" si="0"/>
        <v>1.5228426395939085</v>
      </c>
      <c r="Z23" s="106">
        <f t="shared" si="31"/>
        <v>10.746623999999999</v>
      </c>
      <c r="AA23" s="106">
        <f t="shared" si="32"/>
        <v>12.537728000000001</v>
      </c>
      <c r="AB23" s="106">
        <f t="shared" si="33"/>
        <v>203.91759463959391</v>
      </c>
      <c r="AC23" s="106">
        <f t="shared" si="34"/>
        <v>61.583113581157363</v>
      </c>
      <c r="AD23" s="106">
        <f t="shared" si="1"/>
        <v>19.983924274680206</v>
      </c>
      <c r="AE23" s="106">
        <f t="shared" si="2"/>
        <v>10.331484932415027</v>
      </c>
      <c r="AF23" s="106" t="s">
        <v>97</v>
      </c>
      <c r="AG23" s="129">
        <v>32.83</v>
      </c>
      <c r="AH23" s="130">
        <v>10</v>
      </c>
      <c r="AI23" s="130">
        <v>10</v>
      </c>
      <c r="AJ23" s="130">
        <v>10.700000000000001</v>
      </c>
      <c r="AK23" s="130">
        <v>11.5</v>
      </c>
      <c r="AL23" s="106">
        <f t="shared" si="35"/>
        <v>10.491666666666667</v>
      </c>
      <c r="AM23" s="106">
        <f t="shared" si="3"/>
        <v>344.44141666666667</v>
      </c>
      <c r="AN23" s="106"/>
      <c r="AO23" s="106"/>
      <c r="AP23" s="106"/>
      <c r="AQ23" s="106">
        <f t="shared" si="36"/>
        <v>0</v>
      </c>
      <c r="AR23" s="106">
        <f t="shared" si="37"/>
        <v>344.44141666666667</v>
      </c>
      <c r="AS23" s="106" t="s">
        <v>290</v>
      </c>
      <c r="AT23" s="106">
        <v>157.66999999999999</v>
      </c>
      <c r="AU23" s="106">
        <v>4.5</v>
      </c>
      <c r="AV23" s="106">
        <f t="shared" si="4"/>
        <v>74.439948749999999</v>
      </c>
      <c r="AW23" s="106">
        <v>2000</v>
      </c>
      <c r="AX23" s="106"/>
      <c r="AY23" s="106" t="s">
        <v>312</v>
      </c>
      <c r="AZ23" s="106">
        <v>19213.560000000001</v>
      </c>
      <c r="BA23" s="106">
        <v>4</v>
      </c>
      <c r="BB23" s="106">
        <f>AZ23*BA23/2000</f>
        <v>38.427120000000002</v>
      </c>
      <c r="BC23" s="106">
        <v>48.62</v>
      </c>
      <c r="BD23" s="106">
        <v>17.510000000000002</v>
      </c>
      <c r="BE23" s="129">
        <v>738.06</v>
      </c>
      <c r="BF23" s="106">
        <v>5.19</v>
      </c>
      <c r="BG23" s="106"/>
      <c r="BH23" s="149">
        <f t="shared" si="38"/>
        <v>1552.173117912098</v>
      </c>
      <c r="BI23" s="106">
        <f t="shared" si="5"/>
        <v>40.783518927918784</v>
      </c>
      <c r="BJ23" s="149">
        <f t="shared" si="39"/>
        <v>1603.2881217724316</v>
      </c>
      <c r="BK23" s="154">
        <f t="shared" si="40"/>
        <v>1532.1891936374177</v>
      </c>
      <c r="BL23" s="62"/>
      <c r="BM23" s="62"/>
      <c r="BN23" s="62"/>
      <c r="BO23" s="39"/>
      <c r="BS23" s="48"/>
    </row>
    <row r="24" spans="1:71" ht="78.75">
      <c r="A24" s="40" t="s">
        <v>112</v>
      </c>
      <c r="B24" s="55" t="s">
        <v>302</v>
      </c>
      <c r="C24" s="52" t="s">
        <v>304</v>
      </c>
      <c r="D24" s="52" t="s">
        <v>332</v>
      </c>
      <c r="E24" s="52">
        <v>6</v>
      </c>
      <c r="F24" s="53">
        <v>79.959999999999994</v>
      </c>
      <c r="G24" s="52">
        <v>0</v>
      </c>
      <c r="H24" s="54">
        <f t="shared" si="23"/>
        <v>0</v>
      </c>
      <c r="I24" s="52"/>
      <c r="J24" s="52">
        <f t="shared" si="24"/>
        <v>0</v>
      </c>
      <c r="K24" s="52"/>
      <c r="L24" s="52">
        <f t="shared" si="25"/>
        <v>0</v>
      </c>
      <c r="M24" s="52"/>
      <c r="N24" s="52"/>
      <c r="O24" s="52">
        <f t="shared" si="26"/>
        <v>0</v>
      </c>
      <c r="P24" s="52"/>
      <c r="Q24" s="52"/>
      <c r="R24" s="52">
        <v>40</v>
      </c>
      <c r="S24" s="52">
        <f t="shared" si="27"/>
        <v>31.983999999999995</v>
      </c>
      <c r="T24" s="52">
        <v>30</v>
      </c>
      <c r="U24" s="52">
        <f t="shared" si="28"/>
        <v>33.583199999999998</v>
      </c>
      <c r="V24" s="52">
        <v>30</v>
      </c>
      <c r="W24" s="52">
        <f t="shared" si="29"/>
        <v>33.583199999999998</v>
      </c>
      <c r="X24" s="106">
        <f t="shared" si="30"/>
        <v>179.1104</v>
      </c>
      <c r="Y24" s="106">
        <f t="shared" si="0"/>
        <v>1.5228426395939085</v>
      </c>
      <c r="Z24" s="106">
        <f t="shared" si="31"/>
        <v>10.746623999999999</v>
      </c>
      <c r="AA24" s="106">
        <f t="shared" si="32"/>
        <v>12.537728000000001</v>
      </c>
      <c r="AB24" s="106">
        <f t="shared" si="33"/>
        <v>203.91759463959391</v>
      </c>
      <c r="AC24" s="106">
        <f t="shared" si="34"/>
        <v>61.583113581157363</v>
      </c>
      <c r="AD24" s="106">
        <f t="shared" si="1"/>
        <v>19.983924274680206</v>
      </c>
      <c r="AE24" s="106">
        <f t="shared" si="2"/>
        <v>10.331484932415027</v>
      </c>
      <c r="AF24" s="106" t="s">
        <v>97</v>
      </c>
      <c r="AG24" s="129">
        <v>32.83</v>
      </c>
      <c r="AH24" s="130">
        <v>10</v>
      </c>
      <c r="AI24" s="130">
        <v>10</v>
      </c>
      <c r="AJ24" s="130">
        <v>10.700000000000001</v>
      </c>
      <c r="AK24" s="130">
        <v>11.5</v>
      </c>
      <c r="AL24" s="106">
        <f t="shared" si="35"/>
        <v>10.491666666666667</v>
      </c>
      <c r="AM24" s="106">
        <f t="shared" si="3"/>
        <v>344.44141666666667</v>
      </c>
      <c r="AN24" s="106"/>
      <c r="AO24" s="106"/>
      <c r="AP24" s="106"/>
      <c r="AQ24" s="106">
        <f t="shared" si="36"/>
        <v>0</v>
      </c>
      <c r="AR24" s="106">
        <f t="shared" si="37"/>
        <v>344.44141666666667</v>
      </c>
      <c r="AS24" s="106" t="s">
        <v>290</v>
      </c>
      <c r="AT24" s="106">
        <v>157.66999999999999</v>
      </c>
      <c r="AU24" s="106">
        <v>4.5</v>
      </c>
      <c r="AV24" s="106">
        <f t="shared" si="4"/>
        <v>74.439948749999999</v>
      </c>
      <c r="AW24" s="106">
        <v>2000</v>
      </c>
      <c r="AX24" s="106"/>
      <c r="AY24" s="106" t="s">
        <v>312</v>
      </c>
      <c r="AZ24" s="106">
        <v>19213.560000000001</v>
      </c>
      <c r="BA24" s="106">
        <v>4</v>
      </c>
      <c r="BB24" s="106">
        <f>AZ24*BA24/2000</f>
        <v>38.427120000000002</v>
      </c>
      <c r="BC24" s="106">
        <v>48.62</v>
      </c>
      <c r="BD24" s="106">
        <v>17.510000000000002</v>
      </c>
      <c r="BE24" s="129">
        <v>738.06</v>
      </c>
      <c r="BF24" s="106">
        <v>5.19</v>
      </c>
      <c r="BG24" s="106"/>
      <c r="BH24" s="149">
        <f t="shared" si="38"/>
        <v>1552.173117912098</v>
      </c>
      <c r="BI24" s="106">
        <f t="shared" si="5"/>
        <v>40.783518927918784</v>
      </c>
      <c r="BJ24" s="149">
        <f t="shared" si="39"/>
        <v>1603.2881217724316</v>
      </c>
      <c r="BK24" s="154">
        <f t="shared" si="40"/>
        <v>1532.1891936374177</v>
      </c>
      <c r="BL24" s="62"/>
      <c r="BM24" s="62"/>
      <c r="BN24" s="62"/>
      <c r="BO24" s="39"/>
      <c r="BS24" s="48"/>
    </row>
    <row r="25" spans="1:71" ht="78.75">
      <c r="A25" s="40" t="s">
        <v>113</v>
      </c>
      <c r="B25" s="68" t="s">
        <v>362</v>
      </c>
      <c r="C25" s="77" t="s">
        <v>363</v>
      </c>
      <c r="D25" s="52" t="s">
        <v>332</v>
      </c>
      <c r="E25" s="10">
        <v>6</v>
      </c>
      <c r="F25" s="52">
        <v>79.959999999999994</v>
      </c>
      <c r="G25" s="52">
        <v>0</v>
      </c>
      <c r="H25" s="52">
        <f>F25*G25/100</f>
        <v>0</v>
      </c>
      <c r="I25" s="52"/>
      <c r="J25" s="52">
        <f>F25*I25/100</f>
        <v>0</v>
      </c>
      <c r="K25" s="52"/>
      <c r="L25" s="52">
        <f>F25*K25/100</f>
        <v>0</v>
      </c>
      <c r="M25" s="52"/>
      <c r="N25" s="52"/>
      <c r="O25" s="52">
        <f>F25*N25/100</f>
        <v>0</v>
      </c>
      <c r="P25" s="52"/>
      <c r="Q25" s="52"/>
      <c r="R25" s="52">
        <v>40</v>
      </c>
      <c r="S25" s="52">
        <f>(F25+H25+J25+L25+M25+O25+Q25)*R25/100</f>
        <v>31.983999999999995</v>
      </c>
      <c r="T25" s="52">
        <v>30</v>
      </c>
      <c r="U25" s="52">
        <f>(F25+H25+J25+L25+M25+O25+Q25+S25)*30/100</f>
        <v>33.583199999999998</v>
      </c>
      <c r="V25" s="52">
        <v>30</v>
      </c>
      <c r="W25" s="52">
        <f>U25</f>
        <v>33.583199999999998</v>
      </c>
      <c r="X25" s="106">
        <f>F25+H25+J25+L25+M25+O25+Q25+S25+U25+W25</f>
        <v>179.1104</v>
      </c>
      <c r="Y25" s="106">
        <f>3000/1970</f>
        <v>1.5228426395939085</v>
      </c>
      <c r="Z25" s="106">
        <f>X25*0.06</f>
        <v>10.746623999999999</v>
      </c>
      <c r="AA25" s="106">
        <f>X25*0.07</f>
        <v>12.537728000000001</v>
      </c>
      <c r="AB25" s="106">
        <f>X25+Y25+Z25+AA25</f>
        <v>203.91759463959391</v>
      </c>
      <c r="AC25" s="106">
        <f t="shared" si="34"/>
        <v>61.583113581157363</v>
      </c>
      <c r="AD25" s="106">
        <f t="shared" si="1"/>
        <v>19.983924274680206</v>
      </c>
      <c r="AE25" s="106">
        <f t="shared" si="2"/>
        <v>10.331484932415027</v>
      </c>
      <c r="AF25" s="106" t="s">
        <v>97</v>
      </c>
      <c r="AG25" s="129">
        <v>32.83</v>
      </c>
      <c r="AH25" s="130">
        <v>7</v>
      </c>
      <c r="AI25" s="130">
        <v>7</v>
      </c>
      <c r="AJ25" s="130">
        <v>7.49</v>
      </c>
      <c r="AK25" s="130">
        <v>8.0500000000000007</v>
      </c>
      <c r="AL25" s="106">
        <f>(AI25*7+AJ25*2+AK25*3)/12</f>
        <v>7.3441666666666672</v>
      </c>
      <c r="AM25" s="106">
        <f>AG25*AL25</f>
        <v>241.10899166666667</v>
      </c>
      <c r="AN25" s="106"/>
      <c r="AO25" s="106"/>
      <c r="AP25" s="106"/>
      <c r="AQ25" s="106">
        <f>AG25*AO25*AP25</f>
        <v>0</v>
      </c>
      <c r="AR25" s="106">
        <f>AM25+AQ25</f>
        <v>241.10899166666667</v>
      </c>
      <c r="AS25" s="106" t="s">
        <v>187</v>
      </c>
      <c r="AT25" s="106">
        <v>52.25</v>
      </c>
      <c r="AU25" s="106">
        <v>5.4</v>
      </c>
      <c r="AV25" s="106">
        <f>AL25*AU25/100*AT25</f>
        <v>20.721566250000002</v>
      </c>
      <c r="AW25" s="106">
        <v>2000</v>
      </c>
      <c r="AX25" s="106"/>
      <c r="AY25" s="106" t="s">
        <v>198</v>
      </c>
      <c r="AZ25" s="106" t="s">
        <v>199</v>
      </c>
      <c r="BA25" s="106" t="s">
        <v>200</v>
      </c>
      <c r="BB25" s="106">
        <f>34244.08/AW25</f>
        <v>17.122040000000002</v>
      </c>
      <c r="BC25" s="106">
        <f>48.62*2.5</f>
        <v>121.55</v>
      </c>
      <c r="BD25" s="106">
        <v>17.510000000000002</v>
      </c>
      <c r="BE25" s="129">
        <v>307.76</v>
      </c>
      <c r="BF25" s="106">
        <v>5.19</v>
      </c>
      <c r="BG25" s="106"/>
      <c r="BH25" s="149">
        <f>AB25+AC25+AD25+AR25+AV25+BB25+BC25+BD25+BE25+BF25+BG25</f>
        <v>1016.4472304120982</v>
      </c>
      <c r="BI25" s="106">
        <f t="shared" si="5"/>
        <v>40.783518927918784</v>
      </c>
      <c r="BJ25" s="149">
        <f>BH25+AE25+BI25</f>
        <v>1067.5622342724319</v>
      </c>
      <c r="BK25" s="154">
        <f>BH25-AD25</f>
        <v>996.46330613741793</v>
      </c>
      <c r="BL25" s="62"/>
      <c r="BM25" s="62"/>
      <c r="BN25" s="62"/>
      <c r="BO25" s="39"/>
      <c r="BS25" s="48"/>
    </row>
    <row r="26" spans="1:71" ht="78.75">
      <c r="A26" s="40" t="s">
        <v>114</v>
      </c>
      <c r="B26" s="68" t="s">
        <v>362</v>
      </c>
      <c r="C26" s="77" t="s">
        <v>364</v>
      </c>
      <c r="D26" s="52" t="s">
        <v>332</v>
      </c>
      <c r="E26" s="10">
        <v>6</v>
      </c>
      <c r="F26" s="52">
        <v>79.959999999999994</v>
      </c>
      <c r="G26" s="52">
        <v>0</v>
      </c>
      <c r="H26" s="52">
        <f>F26*G26/100</f>
        <v>0</v>
      </c>
      <c r="I26" s="52"/>
      <c r="J26" s="52">
        <f>F26*I26/100</f>
        <v>0</v>
      </c>
      <c r="K26" s="52"/>
      <c r="L26" s="52">
        <f>F26*K26/100</f>
        <v>0</v>
      </c>
      <c r="M26" s="52"/>
      <c r="N26" s="52"/>
      <c r="O26" s="52">
        <f>F26*N26/100</f>
        <v>0</v>
      </c>
      <c r="P26" s="52"/>
      <c r="Q26" s="52"/>
      <c r="R26" s="52">
        <v>40</v>
      </c>
      <c r="S26" s="52">
        <f>(F26+H26+J26+L26+M26+O26+Q26)*R26/100</f>
        <v>31.983999999999995</v>
      </c>
      <c r="T26" s="52">
        <v>30</v>
      </c>
      <c r="U26" s="52">
        <f>(F26+H26+J26+L26+M26+O26+Q26+S26)*30/100</f>
        <v>33.583199999999998</v>
      </c>
      <c r="V26" s="52">
        <v>30</v>
      </c>
      <c r="W26" s="52">
        <f>U26</f>
        <v>33.583199999999998</v>
      </c>
      <c r="X26" s="106">
        <f>F26+H26+J26+L26+M26+O26+Q26+S26+U26+W26</f>
        <v>179.1104</v>
      </c>
      <c r="Y26" s="106">
        <f>3000/1970</f>
        <v>1.5228426395939085</v>
      </c>
      <c r="Z26" s="106">
        <f>X26*0.06</f>
        <v>10.746623999999999</v>
      </c>
      <c r="AA26" s="106">
        <f>X26*0.07</f>
        <v>12.537728000000001</v>
      </c>
      <c r="AB26" s="106">
        <f>X26+Y26+Z26+AA26</f>
        <v>203.91759463959391</v>
      </c>
      <c r="AC26" s="106">
        <f t="shared" si="34"/>
        <v>61.583113581157363</v>
      </c>
      <c r="AD26" s="106">
        <f t="shared" si="1"/>
        <v>19.983924274680206</v>
      </c>
      <c r="AE26" s="106">
        <f t="shared" si="2"/>
        <v>10.331484932415027</v>
      </c>
      <c r="AF26" s="106" t="s">
        <v>97</v>
      </c>
      <c r="AG26" s="129">
        <v>32.83</v>
      </c>
      <c r="AH26" s="130">
        <v>7</v>
      </c>
      <c r="AI26" s="130">
        <v>7</v>
      </c>
      <c r="AJ26" s="130">
        <v>7.49</v>
      </c>
      <c r="AK26" s="130">
        <v>8.0500000000000007</v>
      </c>
      <c r="AL26" s="106">
        <f>(AI26*7+AJ26*2+AK26*3)/12</f>
        <v>7.3441666666666672</v>
      </c>
      <c r="AM26" s="106">
        <f>AG26*AL26</f>
        <v>241.10899166666667</v>
      </c>
      <c r="AN26" s="106"/>
      <c r="AO26" s="106"/>
      <c r="AP26" s="106"/>
      <c r="AQ26" s="106">
        <f>AG26*AO26*AP26</f>
        <v>0</v>
      </c>
      <c r="AR26" s="106">
        <f>AM26+AQ26</f>
        <v>241.10899166666667</v>
      </c>
      <c r="AS26" s="106" t="s">
        <v>187</v>
      </c>
      <c r="AT26" s="106">
        <v>52.25</v>
      </c>
      <c r="AU26" s="106">
        <v>5.4</v>
      </c>
      <c r="AV26" s="106">
        <f>AL26*AU26/100*AT26</f>
        <v>20.721566250000002</v>
      </c>
      <c r="AW26" s="106">
        <v>2000</v>
      </c>
      <c r="AX26" s="106"/>
      <c r="AY26" s="106" t="s">
        <v>198</v>
      </c>
      <c r="AZ26" s="106" t="s">
        <v>199</v>
      </c>
      <c r="BA26" s="106" t="s">
        <v>200</v>
      </c>
      <c r="BB26" s="106">
        <f>34244.08/AW26</f>
        <v>17.122040000000002</v>
      </c>
      <c r="BC26" s="106">
        <f>48.62*2.5</f>
        <v>121.55</v>
      </c>
      <c r="BD26" s="106">
        <v>17.510000000000002</v>
      </c>
      <c r="BE26" s="129">
        <v>307.76</v>
      </c>
      <c r="BF26" s="106">
        <v>5.19</v>
      </c>
      <c r="BG26" s="106"/>
      <c r="BH26" s="149">
        <f>AB26+AC26+AD26+AR26+AV26+BB26+BC26+BD26+BE26+BF26+BG26</f>
        <v>1016.4472304120982</v>
      </c>
      <c r="BI26" s="106">
        <f t="shared" si="5"/>
        <v>40.783518927918784</v>
      </c>
      <c r="BJ26" s="149">
        <f>BH26+AE26+BI26</f>
        <v>1067.5622342724319</v>
      </c>
      <c r="BK26" s="154">
        <f>BH26-AD26</f>
        <v>996.46330613741793</v>
      </c>
      <c r="BL26" s="62"/>
      <c r="BM26" s="62"/>
      <c r="BN26" s="62"/>
      <c r="BO26" s="39"/>
      <c r="BS26" s="48"/>
    </row>
    <row r="27" spans="1:71" ht="78.75">
      <c r="A27" s="40" t="s">
        <v>115</v>
      </c>
      <c r="B27" s="68" t="s">
        <v>377</v>
      </c>
      <c r="C27" s="77" t="s">
        <v>365</v>
      </c>
      <c r="D27" s="52" t="s">
        <v>332</v>
      </c>
      <c r="E27" s="10">
        <v>6</v>
      </c>
      <c r="F27" s="52">
        <v>79.959999999999994</v>
      </c>
      <c r="G27" s="52">
        <v>0</v>
      </c>
      <c r="H27" s="52">
        <f>F27*G27/100</f>
        <v>0</v>
      </c>
      <c r="I27" s="52"/>
      <c r="J27" s="52">
        <f>F27*I27/100</f>
        <v>0</v>
      </c>
      <c r="K27" s="52"/>
      <c r="L27" s="52">
        <f>F27*K27/100</f>
        <v>0</v>
      </c>
      <c r="M27" s="52"/>
      <c r="N27" s="52"/>
      <c r="O27" s="52">
        <f>F27*N27/100</f>
        <v>0</v>
      </c>
      <c r="P27" s="52"/>
      <c r="Q27" s="52"/>
      <c r="R27" s="52">
        <v>40</v>
      </c>
      <c r="S27" s="52">
        <f>(F27+H27+J27+L27+M27+O27+Q27)*R27/100</f>
        <v>31.983999999999995</v>
      </c>
      <c r="T27" s="52">
        <v>30</v>
      </c>
      <c r="U27" s="52">
        <f>(F27+H27+J27+L27+M27+O27+Q27+S27)*30/100</f>
        <v>33.583199999999998</v>
      </c>
      <c r="V27" s="52">
        <v>30</v>
      </c>
      <c r="W27" s="52">
        <f>U27</f>
        <v>33.583199999999998</v>
      </c>
      <c r="X27" s="106">
        <f>F27+H27+J27+L27+M27+O27+Q27+S27+U27+W27</f>
        <v>179.1104</v>
      </c>
      <c r="Y27" s="106">
        <f>3000/1970</f>
        <v>1.5228426395939085</v>
      </c>
      <c r="Z27" s="106">
        <f>X27*0.06</f>
        <v>10.746623999999999</v>
      </c>
      <c r="AA27" s="106">
        <f>X27*0.07</f>
        <v>12.537728000000001</v>
      </c>
      <c r="AB27" s="106">
        <f>X27+Y27+Z27+AA27</f>
        <v>203.91759463959391</v>
      </c>
      <c r="AC27" s="106">
        <f t="shared" si="34"/>
        <v>61.583113581157363</v>
      </c>
      <c r="AD27" s="106">
        <f t="shared" si="1"/>
        <v>19.983924274680206</v>
      </c>
      <c r="AE27" s="106">
        <f t="shared" si="2"/>
        <v>10.331484932415027</v>
      </c>
      <c r="AF27" s="106" t="s">
        <v>97</v>
      </c>
      <c r="AG27" s="129">
        <v>32.83</v>
      </c>
      <c r="AH27" s="130">
        <v>5.2</v>
      </c>
      <c r="AI27" s="130">
        <v>5.2</v>
      </c>
      <c r="AJ27" s="130">
        <v>5.56</v>
      </c>
      <c r="AK27" s="130">
        <v>5.98</v>
      </c>
      <c r="AL27" s="106">
        <f>(AI27*7+AJ27*2+AK27*3)/12</f>
        <v>5.4549999999999992</v>
      </c>
      <c r="AM27" s="106">
        <f>AG27*AL27</f>
        <v>179.08764999999997</v>
      </c>
      <c r="AN27" s="106"/>
      <c r="AO27" s="106"/>
      <c r="AP27" s="106"/>
      <c r="AQ27" s="106">
        <f>AG27*AO27*AP27</f>
        <v>0</v>
      </c>
      <c r="AR27" s="106">
        <f>AM27+AQ27</f>
        <v>179.08764999999997</v>
      </c>
      <c r="AS27" s="106" t="s">
        <v>290</v>
      </c>
      <c r="AT27" s="106">
        <v>157.66999999999999</v>
      </c>
      <c r="AU27" s="106">
        <v>4.5</v>
      </c>
      <c r="AV27" s="106">
        <f>AL27*AU27/100*AT27</f>
        <v>38.704043249999991</v>
      </c>
      <c r="AW27" s="106">
        <v>2000</v>
      </c>
      <c r="AX27" s="106"/>
      <c r="AY27" s="106" t="s">
        <v>379</v>
      </c>
      <c r="AZ27" s="106">
        <v>4610</v>
      </c>
      <c r="BA27" s="106">
        <v>4</v>
      </c>
      <c r="BB27" s="106">
        <f>AZ27*BA27/2000</f>
        <v>9.2200000000000006</v>
      </c>
      <c r="BC27" s="106">
        <v>48.62</v>
      </c>
      <c r="BD27" s="106">
        <v>17.510000000000002</v>
      </c>
      <c r="BE27" s="106">
        <f>261.32/1.18</f>
        <v>221.45762711864407</v>
      </c>
      <c r="BF27" s="106">
        <v>5.19</v>
      </c>
      <c r="BG27" s="106"/>
      <c r="BH27" s="149">
        <f>AB27+AC27+AD27+AR27+AV27+BB27+BC27+BD27+BE27+BF27+BG27</f>
        <v>805.27395286407545</v>
      </c>
      <c r="BI27" s="106">
        <f t="shared" si="5"/>
        <v>40.783518927918784</v>
      </c>
      <c r="BJ27" s="149">
        <f>BH27+AE27+BI27</f>
        <v>856.38895672440924</v>
      </c>
      <c r="BK27" s="154">
        <f>BH27-AD27</f>
        <v>785.29002858939521</v>
      </c>
      <c r="BL27" s="62"/>
      <c r="BM27" s="62"/>
      <c r="BN27" s="62"/>
      <c r="BO27" s="39"/>
      <c r="BS27" s="48"/>
    </row>
    <row r="28" spans="1:71" ht="63">
      <c r="A28" s="40" t="s">
        <v>116</v>
      </c>
      <c r="B28" s="52" t="s">
        <v>22</v>
      </c>
      <c r="C28" s="52" t="s">
        <v>23</v>
      </c>
      <c r="D28" s="52" t="s">
        <v>336</v>
      </c>
      <c r="E28" s="52">
        <v>4</v>
      </c>
      <c r="F28" s="52">
        <v>56.44</v>
      </c>
      <c r="G28" s="52">
        <v>8</v>
      </c>
      <c r="H28" s="54">
        <f t="shared" si="6"/>
        <v>4.5152000000000001</v>
      </c>
      <c r="I28" s="52"/>
      <c r="J28" s="52">
        <f t="shared" si="7"/>
        <v>0</v>
      </c>
      <c r="K28" s="52"/>
      <c r="L28" s="52">
        <f t="shared" si="8"/>
        <v>0</v>
      </c>
      <c r="M28" s="52"/>
      <c r="N28" s="52">
        <v>25</v>
      </c>
      <c r="O28" s="52">
        <f t="shared" si="9"/>
        <v>14.11</v>
      </c>
      <c r="P28" s="52"/>
      <c r="Q28" s="52"/>
      <c r="R28" s="52">
        <v>40</v>
      </c>
      <c r="S28" s="52">
        <f t="shared" si="10"/>
        <v>30.02608</v>
      </c>
      <c r="T28" s="52">
        <v>30</v>
      </c>
      <c r="U28" s="52">
        <f t="shared" si="11"/>
        <v>31.527384000000001</v>
      </c>
      <c r="V28" s="52">
        <v>30</v>
      </c>
      <c r="W28" s="52">
        <f t="shared" si="12"/>
        <v>31.527384000000001</v>
      </c>
      <c r="X28" s="106">
        <f t="shared" si="13"/>
        <v>168.14604800000004</v>
      </c>
      <c r="Y28" s="106">
        <f t="shared" si="0"/>
        <v>1.5228426395939085</v>
      </c>
      <c r="Z28" s="106">
        <f t="shared" si="14"/>
        <v>10.088762880000003</v>
      </c>
      <c r="AA28" s="106">
        <f t="shared" si="15"/>
        <v>11.770223360000003</v>
      </c>
      <c r="AB28" s="106">
        <f t="shared" si="16"/>
        <v>191.52787687959392</v>
      </c>
      <c r="AC28" s="106">
        <f t="shared" si="34"/>
        <v>57.841418817637361</v>
      </c>
      <c r="AD28" s="106">
        <f t="shared" si="1"/>
        <v>18.769731934200205</v>
      </c>
      <c r="AE28" s="106">
        <f t="shared" si="2"/>
        <v>9.7037598821046274</v>
      </c>
      <c r="AF28" s="106" t="s">
        <v>98</v>
      </c>
      <c r="AG28" s="106">
        <v>30.04</v>
      </c>
      <c r="AH28" s="106">
        <v>8.5</v>
      </c>
      <c r="AI28" s="130">
        <v>11.05</v>
      </c>
      <c r="AJ28" s="130">
        <v>11.645000000000001</v>
      </c>
      <c r="AK28" s="130">
        <v>12.324999999999999</v>
      </c>
      <c r="AL28" s="106">
        <f t="shared" si="17"/>
        <v>11.467916666666667</v>
      </c>
      <c r="AM28" s="106">
        <f t="shared" ref="AM28:AM46" si="41">AG28*AL28/100*23</f>
        <v>79.234129833333327</v>
      </c>
      <c r="AN28" s="106"/>
      <c r="AO28" s="106"/>
      <c r="AP28" s="106"/>
      <c r="AQ28" s="106">
        <f t="shared" si="18"/>
        <v>0</v>
      </c>
      <c r="AR28" s="106">
        <f t="shared" si="19"/>
        <v>79.234129833333327</v>
      </c>
      <c r="AS28" s="106" t="s">
        <v>188</v>
      </c>
      <c r="AT28" s="106">
        <v>115.5</v>
      </c>
      <c r="AU28" s="106">
        <v>0.72</v>
      </c>
      <c r="AV28" s="106">
        <f>AL28/100*23*AU28/100*AT28</f>
        <v>2.1934454849999998</v>
      </c>
      <c r="AW28" s="106">
        <v>33000</v>
      </c>
      <c r="AX28" s="106">
        <v>23</v>
      </c>
      <c r="AY28" s="106" t="s">
        <v>203</v>
      </c>
      <c r="AZ28" s="106">
        <v>3231</v>
      </c>
      <c r="BA28" s="106">
        <v>4</v>
      </c>
      <c r="BB28" s="106">
        <f t="shared" ref="BB28:BB46" si="42">AZ28*BA28/AW28*AX28</f>
        <v>9.0076363636363634</v>
      </c>
      <c r="BC28" s="106">
        <v>48.62</v>
      </c>
      <c r="BD28" s="106">
        <v>17.510000000000002</v>
      </c>
      <c r="BE28" s="106"/>
      <c r="BF28" s="106">
        <v>5.19</v>
      </c>
      <c r="BG28" s="106"/>
      <c r="BH28" s="149">
        <f t="shared" si="20"/>
        <v>429.89423931340116</v>
      </c>
      <c r="BI28" s="106">
        <f t="shared" si="5"/>
        <v>38.305575375918785</v>
      </c>
      <c r="BJ28" s="149">
        <f t="shared" si="21"/>
        <v>477.9035745714246</v>
      </c>
      <c r="BK28" s="154"/>
      <c r="BL28" s="62"/>
      <c r="BM28" s="62"/>
      <c r="BN28" s="62"/>
      <c r="BO28" s="39"/>
      <c r="BS28" s="48"/>
    </row>
    <row r="29" spans="1:71" ht="63">
      <c r="A29" s="40" t="s">
        <v>117</v>
      </c>
      <c r="B29" s="52" t="s">
        <v>24</v>
      </c>
      <c r="C29" s="52" t="s">
        <v>25</v>
      </c>
      <c r="D29" s="52" t="s">
        <v>336</v>
      </c>
      <c r="E29" s="52">
        <v>4</v>
      </c>
      <c r="F29" s="52">
        <v>56.44</v>
      </c>
      <c r="G29" s="52"/>
      <c r="H29" s="54">
        <f t="shared" si="6"/>
        <v>0</v>
      </c>
      <c r="I29" s="52"/>
      <c r="J29" s="52">
        <f t="shared" si="7"/>
        <v>0</v>
      </c>
      <c r="K29" s="52"/>
      <c r="L29" s="52">
        <f t="shared" si="8"/>
        <v>0</v>
      </c>
      <c r="M29" s="52"/>
      <c r="N29" s="52">
        <v>25</v>
      </c>
      <c r="O29" s="52">
        <f t="shared" si="9"/>
        <v>14.11</v>
      </c>
      <c r="P29" s="52"/>
      <c r="Q29" s="52"/>
      <c r="R29" s="52">
        <v>40</v>
      </c>
      <c r="S29" s="52">
        <f t="shared" si="10"/>
        <v>28.22</v>
      </c>
      <c r="T29" s="52">
        <v>30</v>
      </c>
      <c r="U29" s="52">
        <f t="shared" si="11"/>
        <v>29.631</v>
      </c>
      <c r="V29" s="52">
        <v>30</v>
      </c>
      <c r="W29" s="52">
        <f t="shared" si="12"/>
        <v>29.631</v>
      </c>
      <c r="X29" s="106">
        <f t="shared" si="13"/>
        <v>158.03200000000001</v>
      </c>
      <c r="Y29" s="106">
        <f t="shared" si="0"/>
        <v>1.5228426395939085</v>
      </c>
      <c r="Z29" s="106">
        <f t="shared" si="14"/>
        <v>9.4819200000000006</v>
      </c>
      <c r="AA29" s="106">
        <f t="shared" si="15"/>
        <v>11.062240000000001</v>
      </c>
      <c r="AB29" s="106">
        <f t="shared" si="16"/>
        <v>180.09900263959392</v>
      </c>
      <c r="AC29" s="106">
        <f t="shared" si="34"/>
        <v>54.389898797157365</v>
      </c>
      <c r="AD29" s="106">
        <f t="shared" si="1"/>
        <v>17.649702258680204</v>
      </c>
      <c r="AE29" s="106">
        <f t="shared" si="2"/>
        <v>9.1247159687350266</v>
      </c>
      <c r="AF29" s="106" t="s">
        <v>98</v>
      </c>
      <c r="AG29" s="106">
        <v>30.04</v>
      </c>
      <c r="AH29" s="106">
        <v>8.9</v>
      </c>
      <c r="AI29" s="130">
        <v>10.68</v>
      </c>
      <c r="AJ29" s="130">
        <v>11.303000000000001</v>
      </c>
      <c r="AK29" s="130">
        <v>12.015000000000001</v>
      </c>
      <c r="AL29" s="106">
        <f t="shared" si="17"/>
        <v>11.117583333333334</v>
      </c>
      <c r="AM29" s="106">
        <f t="shared" si="41"/>
        <v>76.813606766666666</v>
      </c>
      <c r="AN29" s="106"/>
      <c r="AO29" s="106"/>
      <c r="AP29" s="106"/>
      <c r="AQ29" s="106">
        <f t="shared" si="18"/>
        <v>0</v>
      </c>
      <c r="AR29" s="106">
        <f t="shared" si="19"/>
        <v>76.813606766666666</v>
      </c>
      <c r="AS29" s="106" t="s">
        <v>188</v>
      </c>
      <c r="AT29" s="106">
        <v>115.5</v>
      </c>
      <c r="AU29" s="106">
        <v>0.6</v>
      </c>
      <c r="AV29" s="106">
        <f t="shared" ref="AV29:AV46" si="43">AL29/100*23*AU29/100*AT29</f>
        <v>1.7720316075</v>
      </c>
      <c r="AW29" s="106">
        <v>33000</v>
      </c>
      <c r="AX29" s="106">
        <v>23</v>
      </c>
      <c r="AY29" s="106" t="s">
        <v>203</v>
      </c>
      <c r="AZ29" s="106">
        <v>3231</v>
      </c>
      <c r="BA29" s="106">
        <v>4</v>
      </c>
      <c r="BB29" s="106">
        <f t="shared" si="42"/>
        <v>9.0076363636363634</v>
      </c>
      <c r="BC29" s="106">
        <v>48.62</v>
      </c>
      <c r="BD29" s="106">
        <v>17.510000000000002</v>
      </c>
      <c r="BE29" s="106">
        <v>17.84</v>
      </c>
      <c r="BF29" s="106">
        <v>5.19</v>
      </c>
      <c r="BG29" s="106"/>
      <c r="BH29" s="149">
        <f t="shared" si="20"/>
        <v>428.89187843323452</v>
      </c>
      <c r="BI29" s="106">
        <f t="shared" si="5"/>
        <v>36.019800527918783</v>
      </c>
      <c r="BJ29" s="149">
        <f t="shared" si="21"/>
        <v>474.03639492988833</v>
      </c>
      <c r="BK29" s="154"/>
      <c r="BL29" s="62"/>
      <c r="BM29" s="62"/>
      <c r="BN29" s="62"/>
      <c r="BO29" s="39"/>
      <c r="BS29" s="48"/>
    </row>
    <row r="30" spans="1:71" ht="63">
      <c r="A30" s="40" t="s">
        <v>118</v>
      </c>
      <c r="B30" s="52" t="s">
        <v>24</v>
      </c>
      <c r="C30" s="52" t="s">
        <v>26</v>
      </c>
      <c r="D30" s="52" t="s">
        <v>336</v>
      </c>
      <c r="E30" s="52">
        <v>4</v>
      </c>
      <c r="F30" s="52">
        <v>56.44</v>
      </c>
      <c r="G30" s="52"/>
      <c r="H30" s="54">
        <f t="shared" si="6"/>
        <v>0</v>
      </c>
      <c r="I30" s="52"/>
      <c r="J30" s="52">
        <f t="shared" si="7"/>
        <v>0</v>
      </c>
      <c r="K30" s="52"/>
      <c r="L30" s="52">
        <f t="shared" si="8"/>
        <v>0</v>
      </c>
      <c r="M30" s="52"/>
      <c r="N30" s="52">
        <v>25</v>
      </c>
      <c r="O30" s="52">
        <f t="shared" si="9"/>
        <v>14.11</v>
      </c>
      <c r="P30" s="52"/>
      <c r="Q30" s="52"/>
      <c r="R30" s="52">
        <v>40</v>
      </c>
      <c r="S30" s="52">
        <f t="shared" si="10"/>
        <v>28.22</v>
      </c>
      <c r="T30" s="52">
        <v>30</v>
      </c>
      <c r="U30" s="52">
        <f t="shared" si="11"/>
        <v>29.631</v>
      </c>
      <c r="V30" s="52">
        <v>30</v>
      </c>
      <c r="W30" s="52">
        <f t="shared" si="12"/>
        <v>29.631</v>
      </c>
      <c r="X30" s="106">
        <f t="shared" si="13"/>
        <v>158.03200000000001</v>
      </c>
      <c r="Y30" s="106">
        <f t="shared" si="0"/>
        <v>1.5228426395939085</v>
      </c>
      <c r="Z30" s="106">
        <f t="shared" si="14"/>
        <v>9.4819200000000006</v>
      </c>
      <c r="AA30" s="106">
        <f t="shared" si="15"/>
        <v>11.062240000000001</v>
      </c>
      <c r="AB30" s="106">
        <f t="shared" si="16"/>
        <v>180.09900263959392</v>
      </c>
      <c r="AC30" s="106">
        <f t="shared" si="34"/>
        <v>54.389898797157365</v>
      </c>
      <c r="AD30" s="106">
        <f t="shared" si="1"/>
        <v>17.649702258680204</v>
      </c>
      <c r="AE30" s="106">
        <f t="shared" si="2"/>
        <v>9.1247159687350266</v>
      </c>
      <c r="AF30" s="106" t="s">
        <v>98</v>
      </c>
      <c r="AG30" s="106">
        <v>30.04</v>
      </c>
      <c r="AH30" s="106">
        <v>8.9</v>
      </c>
      <c r="AI30" s="130">
        <v>10.68</v>
      </c>
      <c r="AJ30" s="130">
        <v>11.303000000000001</v>
      </c>
      <c r="AK30" s="130">
        <v>12.015000000000001</v>
      </c>
      <c r="AL30" s="106">
        <f t="shared" si="17"/>
        <v>11.117583333333334</v>
      </c>
      <c r="AM30" s="106">
        <f t="shared" si="41"/>
        <v>76.813606766666666</v>
      </c>
      <c r="AN30" s="106"/>
      <c r="AO30" s="106"/>
      <c r="AP30" s="106"/>
      <c r="AQ30" s="106">
        <f t="shared" si="18"/>
        <v>0</v>
      </c>
      <c r="AR30" s="106">
        <f t="shared" si="19"/>
        <v>76.813606766666666</v>
      </c>
      <c r="AS30" s="106" t="s">
        <v>188</v>
      </c>
      <c r="AT30" s="106">
        <v>115.5</v>
      </c>
      <c r="AU30" s="106">
        <v>0.6</v>
      </c>
      <c r="AV30" s="106">
        <f t="shared" si="43"/>
        <v>1.7720316075</v>
      </c>
      <c r="AW30" s="106">
        <v>33000</v>
      </c>
      <c r="AX30" s="106">
        <v>23</v>
      </c>
      <c r="AY30" s="106" t="s">
        <v>203</v>
      </c>
      <c r="AZ30" s="106">
        <v>3231</v>
      </c>
      <c r="BA30" s="106">
        <v>4</v>
      </c>
      <c r="BB30" s="106">
        <f t="shared" si="42"/>
        <v>9.0076363636363634</v>
      </c>
      <c r="BC30" s="106">
        <v>48.62</v>
      </c>
      <c r="BD30" s="106">
        <v>17.510000000000002</v>
      </c>
      <c r="BE30" s="106">
        <v>17.84</v>
      </c>
      <c r="BF30" s="106">
        <v>5.19</v>
      </c>
      <c r="BG30" s="106"/>
      <c r="BH30" s="149">
        <f t="shared" si="20"/>
        <v>428.89187843323452</v>
      </c>
      <c r="BI30" s="106">
        <f t="shared" si="5"/>
        <v>36.019800527918783</v>
      </c>
      <c r="BJ30" s="149">
        <f t="shared" si="21"/>
        <v>474.03639492988833</v>
      </c>
      <c r="BK30" s="154"/>
      <c r="BL30" s="62"/>
      <c r="BM30" s="62"/>
      <c r="BN30" s="62"/>
      <c r="BO30" s="39"/>
      <c r="BS30" s="48"/>
    </row>
    <row r="31" spans="1:71" ht="63">
      <c r="A31" s="40" t="s">
        <v>119</v>
      </c>
      <c r="B31" s="52" t="s">
        <v>24</v>
      </c>
      <c r="C31" s="52" t="s">
        <v>27</v>
      </c>
      <c r="D31" s="52" t="s">
        <v>336</v>
      </c>
      <c r="E31" s="52">
        <v>4</v>
      </c>
      <c r="F31" s="52">
        <v>56.44</v>
      </c>
      <c r="G31" s="52"/>
      <c r="H31" s="54">
        <f t="shared" si="6"/>
        <v>0</v>
      </c>
      <c r="I31" s="52"/>
      <c r="J31" s="52">
        <f t="shared" si="7"/>
        <v>0</v>
      </c>
      <c r="K31" s="52"/>
      <c r="L31" s="52">
        <f t="shared" si="8"/>
        <v>0</v>
      </c>
      <c r="M31" s="52"/>
      <c r="N31" s="52">
        <v>25</v>
      </c>
      <c r="O31" s="52">
        <f t="shared" si="9"/>
        <v>14.11</v>
      </c>
      <c r="P31" s="52"/>
      <c r="Q31" s="52"/>
      <c r="R31" s="52">
        <v>40</v>
      </c>
      <c r="S31" s="52">
        <f t="shared" si="10"/>
        <v>28.22</v>
      </c>
      <c r="T31" s="52">
        <v>30</v>
      </c>
      <c r="U31" s="52">
        <f t="shared" si="11"/>
        <v>29.631</v>
      </c>
      <c r="V31" s="52">
        <v>30</v>
      </c>
      <c r="W31" s="52">
        <f t="shared" si="12"/>
        <v>29.631</v>
      </c>
      <c r="X31" s="106">
        <f t="shared" si="13"/>
        <v>158.03200000000001</v>
      </c>
      <c r="Y31" s="106">
        <f t="shared" si="0"/>
        <v>1.5228426395939085</v>
      </c>
      <c r="Z31" s="106">
        <f t="shared" si="14"/>
        <v>9.4819200000000006</v>
      </c>
      <c r="AA31" s="106">
        <f t="shared" si="15"/>
        <v>11.062240000000001</v>
      </c>
      <c r="AB31" s="106">
        <f t="shared" si="16"/>
        <v>180.09900263959392</v>
      </c>
      <c r="AC31" s="106">
        <f t="shared" si="34"/>
        <v>54.389898797157365</v>
      </c>
      <c r="AD31" s="106">
        <f t="shared" si="1"/>
        <v>17.649702258680204</v>
      </c>
      <c r="AE31" s="106">
        <f t="shared" si="2"/>
        <v>9.1247159687350266</v>
      </c>
      <c r="AF31" s="106" t="s">
        <v>98</v>
      </c>
      <c r="AG31" s="106">
        <v>30.04</v>
      </c>
      <c r="AH31" s="106">
        <v>8.9</v>
      </c>
      <c r="AI31" s="130">
        <v>10.68</v>
      </c>
      <c r="AJ31" s="130">
        <v>11.303000000000001</v>
      </c>
      <c r="AK31" s="130">
        <v>12.015000000000001</v>
      </c>
      <c r="AL31" s="106">
        <f t="shared" si="17"/>
        <v>11.117583333333334</v>
      </c>
      <c r="AM31" s="106">
        <f t="shared" si="41"/>
        <v>76.813606766666666</v>
      </c>
      <c r="AN31" s="106"/>
      <c r="AO31" s="106"/>
      <c r="AP31" s="106"/>
      <c r="AQ31" s="106">
        <f t="shared" si="18"/>
        <v>0</v>
      </c>
      <c r="AR31" s="106">
        <f t="shared" si="19"/>
        <v>76.813606766666666</v>
      </c>
      <c r="AS31" s="106" t="s">
        <v>188</v>
      </c>
      <c r="AT31" s="106">
        <v>115.5</v>
      </c>
      <c r="AU31" s="106">
        <v>0.6</v>
      </c>
      <c r="AV31" s="106">
        <f t="shared" si="43"/>
        <v>1.7720316075</v>
      </c>
      <c r="AW31" s="106">
        <v>33000</v>
      </c>
      <c r="AX31" s="106">
        <v>23</v>
      </c>
      <c r="AY31" s="106" t="s">
        <v>203</v>
      </c>
      <c r="AZ31" s="106">
        <v>3231</v>
      </c>
      <c r="BA31" s="106">
        <v>4</v>
      </c>
      <c r="BB31" s="106">
        <f t="shared" si="42"/>
        <v>9.0076363636363634</v>
      </c>
      <c r="BC31" s="106">
        <v>48.62</v>
      </c>
      <c r="BD31" s="106">
        <v>17.510000000000002</v>
      </c>
      <c r="BE31" s="106">
        <v>17.84</v>
      </c>
      <c r="BF31" s="106">
        <v>5.19</v>
      </c>
      <c r="BG31" s="106"/>
      <c r="BH31" s="149">
        <f t="shared" si="20"/>
        <v>428.89187843323452</v>
      </c>
      <c r="BI31" s="106">
        <f t="shared" si="5"/>
        <v>36.019800527918783</v>
      </c>
      <c r="BJ31" s="149">
        <f t="shared" si="21"/>
        <v>474.03639492988833</v>
      </c>
      <c r="BK31" s="154"/>
      <c r="BL31" s="62"/>
      <c r="BM31" s="62"/>
      <c r="BN31" s="62"/>
      <c r="BO31" s="39"/>
      <c r="BS31" s="48"/>
    </row>
    <row r="32" spans="1:71" ht="47.25">
      <c r="A32" s="41" t="s">
        <v>120</v>
      </c>
      <c r="B32" s="52" t="s">
        <v>255</v>
      </c>
      <c r="C32" s="52" t="s">
        <v>28</v>
      </c>
      <c r="D32" s="52" t="s">
        <v>336</v>
      </c>
      <c r="E32" s="52">
        <v>4</v>
      </c>
      <c r="F32" s="52">
        <v>56.44</v>
      </c>
      <c r="G32" s="52">
        <v>8</v>
      </c>
      <c r="H32" s="54">
        <f t="shared" si="6"/>
        <v>4.5152000000000001</v>
      </c>
      <c r="I32" s="52">
        <v>10</v>
      </c>
      <c r="J32" s="52">
        <f t="shared" si="7"/>
        <v>5.6440000000000001</v>
      </c>
      <c r="K32" s="52"/>
      <c r="L32" s="52">
        <f t="shared" si="8"/>
        <v>0</v>
      </c>
      <c r="M32" s="52"/>
      <c r="N32" s="52">
        <v>25</v>
      </c>
      <c r="O32" s="52">
        <f t="shared" si="9"/>
        <v>14.11</v>
      </c>
      <c r="P32" s="52"/>
      <c r="Q32" s="52"/>
      <c r="R32" s="52">
        <v>40</v>
      </c>
      <c r="S32" s="52">
        <f t="shared" si="10"/>
        <v>32.283679999999997</v>
      </c>
      <c r="T32" s="52">
        <v>30</v>
      </c>
      <c r="U32" s="52">
        <f t="shared" si="11"/>
        <v>33.897863999999998</v>
      </c>
      <c r="V32" s="52">
        <v>30</v>
      </c>
      <c r="W32" s="52">
        <f t="shared" si="12"/>
        <v>33.897863999999998</v>
      </c>
      <c r="X32" s="106">
        <f t="shared" si="13"/>
        <v>180.78860799999998</v>
      </c>
      <c r="Y32" s="106">
        <f t="shared" si="0"/>
        <v>1.5228426395939085</v>
      </c>
      <c r="Z32" s="106">
        <f t="shared" si="14"/>
        <v>10.847316479999998</v>
      </c>
      <c r="AA32" s="106">
        <f t="shared" si="15"/>
        <v>12.655202559999999</v>
      </c>
      <c r="AB32" s="106">
        <f t="shared" si="16"/>
        <v>205.81396967959387</v>
      </c>
      <c r="AC32" s="106">
        <f t="shared" si="34"/>
        <v>62.155818843237348</v>
      </c>
      <c r="AD32" s="106">
        <f t="shared" si="1"/>
        <v>20.1697690286002</v>
      </c>
      <c r="AE32" s="106">
        <f t="shared" si="2"/>
        <v>10.427564773816625</v>
      </c>
      <c r="AF32" s="106" t="s">
        <v>99</v>
      </c>
      <c r="AG32" s="129">
        <v>26.58</v>
      </c>
      <c r="AH32" s="106">
        <v>27</v>
      </c>
      <c r="AI32" s="130">
        <v>35.1</v>
      </c>
      <c r="AJ32" s="130">
        <v>36.99</v>
      </c>
      <c r="AK32" s="130">
        <v>39.15</v>
      </c>
      <c r="AL32" s="106">
        <f t="shared" si="17"/>
        <v>36.427500000000002</v>
      </c>
      <c r="AM32" s="106">
        <f t="shared" si="41"/>
        <v>222.69587849999999</v>
      </c>
      <c r="AN32" s="106" t="s">
        <v>184</v>
      </c>
      <c r="AO32" s="106">
        <v>6.3</v>
      </c>
      <c r="AP32" s="106">
        <v>0.1</v>
      </c>
      <c r="AQ32" s="106">
        <f t="shared" si="18"/>
        <v>16.7454</v>
      </c>
      <c r="AR32" s="106">
        <f t="shared" si="19"/>
        <v>239.44127849999998</v>
      </c>
      <c r="AS32" s="106" t="s">
        <v>189</v>
      </c>
      <c r="AT32" s="106">
        <v>50.1</v>
      </c>
      <c r="AU32" s="106">
        <v>2.52</v>
      </c>
      <c r="AV32" s="106">
        <f t="shared" si="43"/>
        <v>10.577802879000002</v>
      </c>
      <c r="AW32" s="106">
        <v>50000</v>
      </c>
      <c r="AX32" s="106">
        <v>23</v>
      </c>
      <c r="AY32" s="106" t="s">
        <v>204</v>
      </c>
      <c r="AZ32" s="106">
        <v>4422.03</v>
      </c>
      <c r="BA32" s="106">
        <v>6</v>
      </c>
      <c r="BB32" s="106">
        <f t="shared" si="42"/>
        <v>12.2048028</v>
      </c>
      <c r="BC32" s="106">
        <v>48.62</v>
      </c>
      <c r="BD32" s="106">
        <v>17.510000000000002</v>
      </c>
      <c r="BE32" s="106"/>
      <c r="BF32" s="106">
        <v>5.19</v>
      </c>
      <c r="BG32" s="106"/>
      <c r="BH32" s="149">
        <f t="shared" si="20"/>
        <v>621.68344173043147</v>
      </c>
      <c r="BI32" s="106">
        <f t="shared" si="5"/>
        <v>41.162793935918778</v>
      </c>
      <c r="BJ32" s="149">
        <f t="shared" si="21"/>
        <v>673.27380044016684</v>
      </c>
      <c r="BK32" s="154">
        <f t="shared" si="22"/>
        <v>601.5136727018313</v>
      </c>
      <c r="BL32" s="62"/>
      <c r="BM32" s="62"/>
      <c r="BN32" s="62"/>
      <c r="BO32" s="39"/>
      <c r="BS32" s="48"/>
    </row>
    <row r="33" spans="1:71" ht="63">
      <c r="A33" s="40" t="s">
        <v>121</v>
      </c>
      <c r="B33" s="52" t="s">
        <v>29</v>
      </c>
      <c r="C33" s="52" t="s">
        <v>30</v>
      </c>
      <c r="D33" s="52" t="s">
        <v>336</v>
      </c>
      <c r="E33" s="52">
        <v>4</v>
      </c>
      <c r="F33" s="52">
        <v>56.44</v>
      </c>
      <c r="G33" s="52"/>
      <c r="H33" s="54">
        <f t="shared" si="6"/>
        <v>0</v>
      </c>
      <c r="I33" s="52">
        <v>10</v>
      </c>
      <c r="J33" s="52">
        <f t="shared" si="7"/>
        <v>5.6440000000000001</v>
      </c>
      <c r="K33" s="52">
        <v>40</v>
      </c>
      <c r="L33" s="52">
        <f t="shared" si="8"/>
        <v>22.576000000000001</v>
      </c>
      <c r="M33" s="52">
        <v>1.65</v>
      </c>
      <c r="N33" s="52">
        <v>25</v>
      </c>
      <c r="O33" s="52">
        <f t="shared" si="9"/>
        <v>14.11</v>
      </c>
      <c r="P33" s="52"/>
      <c r="Q33" s="52"/>
      <c r="R33" s="52">
        <v>40</v>
      </c>
      <c r="S33" s="52">
        <f t="shared" si="10"/>
        <v>40.167999999999999</v>
      </c>
      <c r="T33" s="52">
        <v>30</v>
      </c>
      <c r="U33" s="52">
        <f t="shared" si="11"/>
        <v>42.176399999999994</v>
      </c>
      <c r="V33" s="52">
        <v>30</v>
      </c>
      <c r="W33" s="52">
        <f t="shared" si="12"/>
        <v>42.176399999999994</v>
      </c>
      <c r="X33" s="106">
        <f t="shared" si="13"/>
        <v>224.9408</v>
      </c>
      <c r="Y33" s="106">
        <f t="shared" si="0"/>
        <v>1.5228426395939085</v>
      </c>
      <c r="Z33" s="106">
        <f t="shared" si="14"/>
        <v>13.496447999999999</v>
      </c>
      <c r="AA33" s="106">
        <f t="shared" si="15"/>
        <v>15.745856000000002</v>
      </c>
      <c r="AB33" s="106">
        <f t="shared" si="16"/>
        <v>255.70594663959389</v>
      </c>
      <c r="AC33" s="106">
        <f t="shared" si="34"/>
        <v>77.223195885157352</v>
      </c>
      <c r="AD33" s="106">
        <f t="shared" si="1"/>
        <v>25.059182770680202</v>
      </c>
      <c r="AE33" s="106">
        <f t="shared" si="2"/>
        <v>12.955341786495026</v>
      </c>
      <c r="AF33" s="106" t="s">
        <v>97</v>
      </c>
      <c r="AG33" s="129">
        <v>32.83</v>
      </c>
      <c r="AH33" s="106">
        <v>14.5</v>
      </c>
      <c r="AI33" s="130">
        <v>17.399999999999999</v>
      </c>
      <c r="AJ33" s="130">
        <v>18.415000000000003</v>
      </c>
      <c r="AK33" s="130">
        <v>19.574999999999999</v>
      </c>
      <c r="AL33" s="106">
        <f t="shared" si="17"/>
        <v>18.112916666666667</v>
      </c>
      <c r="AM33" s="106">
        <f t="shared" si="41"/>
        <v>136.76882245833335</v>
      </c>
      <c r="AN33" s="106" t="s">
        <v>184</v>
      </c>
      <c r="AO33" s="106">
        <v>6.3</v>
      </c>
      <c r="AP33" s="106">
        <v>0.1</v>
      </c>
      <c r="AQ33" s="106">
        <f t="shared" si="18"/>
        <v>20.6829</v>
      </c>
      <c r="AR33" s="106">
        <f t="shared" si="19"/>
        <v>157.45172245833334</v>
      </c>
      <c r="AS33" s="106" t="s">
        <v>190</v>
      </c>
      <c r="AT33" s="106">
        <v>160.16999999999999</v>
      </c>
      <c r="AU33" s="106">
        <v>2.1</v>
      </c>
      <c r="AV33" s="106">
        <f t="shared" si="43"/>
        <v>14.012534515875</v>
      </c>
      <c r="AW33" s="106">
        <v>50000</v>
      </c>
      <c r="AX33" s="106">
        <v>23</v>
      </c>
      <c r="AY33" s="106" t="s">
        <v>204</v>
      </c>
      <c r="AZ33" s="106">
        <v>4422.03</v>
      </c>
      <c r="BA33" s="106">
        <v>6</v>
      </c>
      <c r="BB33" s="106">
        <f t="shared" si="42"/>
        <v>12.2048028</v>
      </c>
      <c r="BC33" s="106">
        <v>48.62</v>
      </c>
      <c r="BD33" s="106">
        <v>17.510000000000002</v>
      </c>
      <c r="BE33" s="106">
        <v>57.61</v>
      </c>
      <c r="BF33" s="106">
        <v>5.19</v>
      </c>
      <c r="BG33" s="106"/>
      <c r="BH33" s="149">
        <f t="shared" si="20"/>
        <v>670.58738506963982</v>
      </c>
      <c r="BI33" s="106">
        <f t="shared" si="5"/>
        <v>51.141189327918781</v>
      </c>
      <c r="BJ33" s="149">
        <f t="shared" si="21"/>
        <v>734.68391618405371</v>
      </c>
      <c r="BK33" s="154">
        <f t="shared" si="22"/>
        <v>645.52820229895963</v>
      </c>
      <c r="BL33" s="62"/>
      <c r="BM33" s="62"/>
      <c r="BN33" s="62"/>
      <c r="BO33" s="39"/>
      <c r="BS33" s="48"/>
    </row>
    <row r="34" spans="1:71" ht="63">
      <c r="A34" s="41" t="s">
        <v>122</v>
      </c>
      <c r="B34" s="52" t="s">
        <v>29</v>
      </c>
      <c r="C34" s="52" t="s">
        <v>31</v>
      </c>
      <c r="D34" s="52" t="s">
        <v>337</v>
      </c>
      <c r="E34" s="52">
        <v>4</v>
      </c>
      <c r="F34" s="52">
        <v>56.44</v>
      </c>
      <c r="G34" s="52"/>
      <c r="H34" s="54">
        <f t="shared" si="6"/>
        <v>0</v>
      </c>
      <c r="I34" s="52">
        <v>10</v>
      </c>
      <c r="J34" s="52">
        <f t="shared" si="7"/>
        <v>5.6440000000000001</v>
      </c>
      <c r="K34" s="52"/>
      <c r="L34" s="52">
        <f t="shared" si="8"/>
        <v>0</v>
      </c>
      <c r="M34" s="52"/>
      <c r="N34" s="52">
        <v>25</v>
      </c>
      <c r="O34" s="52">
        <f t="shared" si="9"/>
        <v>14.11</v>
      </c>
      <c r="P34" s="52"/>
      <c r="Q34" s="52"/>
      <c r="R34" s="52">
        <v>40</v>
      </c>
      <c r="S34" s="52">
        <f t="shared" si="10"/>
        <v>30.477599999999992</v>
      </c>
      <c r="T34" s="52">
        <v>30</v>
      </c>
      <c r="U34" s="52">
        <f t="shared" si="11"/>
        <v>32.001479999999994</v>
      </c>
      <c r="V34" s="52">
        <v>30</v>
      </c>
      <c r="W34" s="52">
        <f t="shared" si="12"/>
        <v>32.001479999999994</v>
      </c>
      <c r="X34" s="106">
        <f t="shared" si="13"/>
        <v>170.67455999999996</v>
      </c>
      <c r="Y34" s="106">
        <f t="shared" si="0"/>
        <v>1.5228426395939085</v>
      </c>
      <c r="Z34" s="106">
        <f t="shared" si="14"/>
        <v>10.240473599999998</v>
      </c>
      <c r="AA34" s="106">
        <f t="shared" si="15"/>
        <v>11.947219199999997</v>
      </c>
      <c r="AB34" s="106">
        <f t="shared" si="16"/>
        <v>194.38509543959387</v>
      </c>
      <c r="AC34" s="106">
        <f t="shared" si="34"/>
        <v>58.704298822757345</v>
      </c>
      <c r="AD34" s="106">
        <f t="shared" si="1"/>
        <v>19.049739353080199</v>
      </c>
      <c r="AE34" s="106">
        <f t="shared" si="2"/>
        <v>9.8485208604470245</v>
      </c>
      <c r="AF34" s="106" t="s">
        <v>102</v>
      </c>
      <c r="AG34" s="129">
        <v>32.83</v>
      </c>
      <c r="AH34" s="106">
        <v>14.5</v>
      </c>
      <c r="AI34" s="130">
        <v>17.399999999999999</v>
      </c>
      <c r="AJ34" s="130">
        <v>18.415000000000003</v>
      </c>
      <c r="AK34" s="130">
        <v>19.574999999999999</v>
      </c>
      <c r="AL34" s="106">
        <f t="shared" si="17"/>
        <v>18.112916666666667</v>
      </c>
      <c r="AM34" s="106">
        <f t="shared" si="41"/>
        <v>136.76882245833335</v>
      </c>
      <c r="AN34" s="106" t="s">
        <v>184</v>
      </c>
      <c r="AO34" s="106">
        <v>6.3</v>
      </c>
      <c r="AP34" s="106">
        <v>0.1</v>
      </c>
      <c r="AQ34" s="106">
        <f t="shared" si="18"/>
        <v>20.6829</v>
      </c>
      <c r="AR34" s="106">
        <f t="shared" si="19"/>
        <v>157.45172245833334</v>
      </c>
      <c r="AS34" s="106" t="s">
        <v>190</v>
      </c>
      <c r="AT34" s="106">
        <v>160.16999999999999</v>
      </c>
      <c r="AU34" s="106">
        <v>2.1</v>
      </c>
      <c r="AV34" s="106">
        <f t="shared" si="43"/>
        <v>14.012534515875</v>
      </c>
      <c r="AW34" s="106">
        <v>50000</v>
      </c>
      <c r="AX34" s="106">
        <v>23</v>
      </c>
      <c r="AY34" s="106" t="s">
        <v>204</v>
      </c>
      <c r="AZ34" s="106">
        <v>4422.03</v>
      </c>
      <c r="BA34" s="106">
        <v>6</v>
      </c>
      <c r="BB34" s="106">
        <f t="shared" si="42"/>
        <v>12.2048028</v>
      </c>
      <c r="BC34" s="106">
        <v>48.62</v>
      </c>
      <c r="BD34" s="106">
        <v>17.510000000000002</v>
      </c>
      <c r="BE34" s="106">
        <v>57.61</v>
      </c>
      <c r="BF34" s="106">
        <v>5.19</v>
      </c>
      <c r="BG34" s="106"/>
      <c r="BH34" s="149">
        <f t="shared" si="20"/>
        <v>584.73819338963983</v>
      </c>
      <c r="BI34" s="106">
        <f t="shared" si="5"/>
        <v>38.877019087918775</v>
      </c>
      <c r="BJ34" s="149">
        <f t="shared" si="21"/>
        <v>633.46373333800568</v>
      </c>
      <c r="BK34" s="154">
        <f t="shared" si="22"/>
        <v>565.68845403655962</v>
      </c>
      <c r="BL34" s="62"/>
      <c r="BM34" s="62"/>
      <c r="BN34" s="62"/>
      <c r="BO34" s="39"/>
      <c r="BS34" s="48"/>
    </row>
    <row r="35" spans="1:71" ht="47.25">
      <c r="A35" s="40" t="s">
        <v>123</v>
      </c>
      <c r="B35" s="52" t="s">
        <v>32</v>
      </c>
      <c r="C35" s="52" t="s">
        <v>33</v>
      </c>
      <c r="D35" s="52" t="s">
        <v>336</v>
      </c>
      <c r="E35" s="52">
        <v>4</v>
      </c>
      <c r="F35" s="52">
        <v>56.44</v>
      </c>
      <c r="G35" s="52">
        <v>12</v>
      </c>
      <c r="H35" s="54">
        <f t="shared" si="6"/>
        <v>6.7728000000000002</v>
      </c>
      <c r="I35" s="52">
        <v>10</v>
      </c>
      <c r="J35" s="52">
        <f t="shared" si="7"/>
        <v>5.6440000000000001</v>
      </c>
      <c r="K35" s="52"/>
      <c r="L35" s="52">
        <f t="shared" si="8"/>
        <v>0</v>
      </c>
      <c r="M35" s="52"/>
      <c r="N35" s="52">
        <v>25</v>
      </c>
      <c r="O35" s="52">
        <f t="shared" si="9"/>
        <v>14.11</v>
      </c>
      <c r="P35" s="52"/>
      <c r="Q35" s="52"/>
      <c r="R35" s="52">
        <v>40</v>
      </c>
      <c r="S35" s="52">
        <f t="shared" si="10"/>
        <v>33.186720000000008</v>
      </c>
      <c r="T35" s="52">
        <v>30</v>
      </c>
      <c r="U35" s="52">
        <f t="shared" si="11"/>
        <v>34.846056000000004</v>
      </c>
      <c r="V35" s="52">
        <v>30</v>
      </c>
      <c r="W35" s="52">
        <f t="shared" si="12"/>
        <v>34.846056000000004</v>
      </c>
      <c r="X35" s="106">
        <f t="shared" si="13"/>
        <v>185.84563200000002</v>
      </c>
      <c r="Y35" s="106">
        <f t="shared" si="0"/>
        <v>1.5228426395939085</v>
      </c>
      <c r="Z35" s="106">
        <f t="shared" si="14"/>
        <v>11.150737920000001</v>
      </c>
      <c r="AA35" s="106">
        <f t="shared" si="15"/>
        <v>13.009194240000003</v>
      </c>
      <c r="AB35" s="106">
        <f t="shared" si="16"/>
        <v>211.52840679959394</v>
      </c>
      <c r="AC35" s="106">
        <f t="shared" si="34"/>
        <v>63.881578853477365</v>
      </c>
      <c r="AD35" s="106">
        <f t="shared" si="1"/>
        <v>20.729783866360208</v>
      </c>
      <c r="AE35" s="106">
        <f t="shared" si="2"/>
        <v>10.717086730501428</v>
      </c>
      <c r="AF35" s="106" t="s">
        <v>99</v>
      </c>
      <c r="AG35" s="129">
        <v>26.58</v>
      </c>
      <c r="AH35" s="106">
        <v>25.5</v>
      </c>
      <c r="AI35" s="130">
        <v>33.15</v>
      </c>
      <c r="AJ35" s="130">
        <v>34.934999999999995</v>
      </c>
      <c r="AK35" s="130">
        <v>36.974999999999994</v>
      </c>
      <c r="AL35" s="106">
        <f t="shared" si="17"/>
        <v>34.403749999999995</v>
      </c>
      <c r="AM35" s="106">
        <f t="shared" si="41"/>
        <v>210.32388524999993</v>
      </c>
      <c r="AN35" s="106" t="s">
        <v>184</v>
      </c>
      <c r="AO35" s="106">
        <v>6.3</v>
      </c>
      <c r="AP35" s="106">
        <v>0.1</v>
      </c>
      <c r="AQ35" s="106">
        <f t="shared" si="18"/>
        <v>16.7454</v>
      </c>
      <c r="AR35" s="106">
        <f t="shared" si="19"/>
        <v>227.06928524999992</v>
      </c>
      <c r="AS35" s="106" t="s">
        <v>189</v>
      </c>
      <c r="AT35" s="106">
        <v>50.1</v>
      </c>
      <c r="AU35" s="106">
        <v>2.16</v>
      </c>
      <c r="AV35" s="106">
        <f t="shared" si="43"/>
        <v>8.5629832829999977</v>
      </c>
      <c r="AW35" s="106">
        <v>50000</v>
      </c>
      <c r="AX35" s="106">
        <v>23</v>
      </c>
      <c r="AY35" s="106" t="s">
        <v>204</v>
      </c>
      <c r="AZ35" s="106">
        <v>4422.03</v>
      </c>
      <c r="BA35" s="106">
        <v>6</v>
      </c>
      <c r="BB35" s="106">
        <f t="shared" si="42"/>
        <v>12.2048028</v>
      </c>
      <c r="BC35" s="106">
        <v>48.62</v>
      </c>
      <c r="BD35" s="106">
        <v>17.510000000000002</v>
      </c>
      <c r="BE35" s="106"/>
      <c r="BF35" s="106">
        <v>5.19</v>
      </c>
      <c r="BG35" s="106"/>
      <c r="BH35" s="149">
        <f t="shared" si="20"/>
        <v>615.2968408524315</v>
      </c>
      <c r="BI35" s="106">
        <f t="shared" si="5"/>
        <v>42.305681359918793</v>
      </c>
      <c r="BJ35" s="149">
        <f t="shared" si="21"/>
        <v>668.3196089428518</v>
      </c>
      <c r="BK35" s="154">
        <f t="shared" si="22"/>
        <v>594.56705698607129</v>
      </c>
      <c r="BL35" s="62"/>
      <c r="BM35" s="62"/>
      <c r="BN35" s="62"/>
      <c r="BO35" s="39"/>
      <c r="BS35" s="48"/>
    </row>
    <row r="36" spans="1:71" ht="47.25">
      <c r="A36" s="40" t="s">
        <v>124</v>
      </c>
      <c r="B36" s="52" t="s">
        <v>34</v>
      </c>
      <c r="C36" s="52" t="s">
        <v>35</v>
      </c>
      <c r="D36" s="52" t="s">
        <v>336</v>
      </c>
      <c r="E36" s="52">
        <v>4</v>
      </c>
      <c r="F36" s="52">
        <v>56.44</v>
      </c>
      <c r="G36" s="52">
        <v>8</v>
      </c>
      <c r="H36" s="54">
        <f t="shared" si="6"/>
        <v>4.5152000000000001</v>
      </c>
      <c r="I36" s="52">
        <v>10</v>
      </c>
      <c r="J36" s="52">
        <f t="shared" si="7"/>
        <v>5.6440000000000001</v>
      </c>
      <c r="K36" s="52"/>
      <c r="L36" s="52">
        <f t="shared" si="8"/>
        <v>0</v>
      </c>
      <c r="M36" s="52"/>
      <c r="N36" s="52">
        <v>25</v>
      </c>
      <c r="O36" s="52">
        <f t="shared" si="9"/>
        <v>14.11</v>
      </c>
      <c r="P36" s="52"/>
      <c r="Q36" s="52"/>
      <c r="R36" s="52">
        <v>40</v>
      </c>
      <c r="S36" s="52">
        <f t="shared" si="10"/>
        <v>32.283679999999997</v>
      </c>
      <c r="T36" s="52">
        <v>30</v>
      </c>
      <c r="U36" s="52">
        <f t="shared" si="11"/>
        <v>33.897863999999998</v>
      </c>
      <c r="V36" s="52">
        <v>30</v>
      </c>
      <c r="W36" s="52">
        <f t="shared" si="12"/>
        <v>33.897863999999998</v>
      </c>
      <c r="X36" s="106">
        <f t="shared" si="13"/>
        <v>180.78860799999998</v>
      </c>
      <c r="Y36" s="106">
        <f t="shared" si="0"/>
        <v>1.5228426395939085</v>
      </c>
      <c r="Z36" s="106">
        <f t="shared" si="14"/>
        <v>10.847316479999998</v>
      </c>
      <c r="AA36" s="106">
        <f t="shared" si="15"/>
        <v>12.655202559999999</v>
      </c>
      <c r="AB36" s="106">
        <f t="shared" si="16"/>
        <v>205.81396967959387</v>
      </c>
      <c r="AC36" s="106">
        <f t="shared" si="34"/>
        <v>62.155818843237348</v>
      </c>
      <c r="AD36" s="106">
        <f t="shared" si="1"/>
        <v>20.1697690286002</v>
      </c>
      <c r="AE36" s="106">
        <f t="shared" si="2"/>
        <v>10.427564773816625</v>
      </c>
      <c r="AF36" s="106" t="s">
        <v>99</v>
      </c>
      <c r="AG36" s="129">
        <v>26.58</v>
      </c>
      <c r="AH36" s="106">
        <v>25.5</v>
      </c>
      <c r="AI36" s="130">
        <v>33.15</v>
      </c>
      <c r="AJ36" s="130">
        <v>34.934999999999995</v>
      </c>
      <c r="AK36" s="130">
        <v>36.974999999999994</v>
      </c>
      <c r="AL36" s="106">
        <f t="shared" si="17"/>
        <v>34.403749999999995</v>
      </c>
      <c r="AM36" s="106">
        <f t="shared" si="41"/>
        <v>210.32388524999993</v>
      </c>
      <c r="AN36" s="106" t="s">
        <v>184</v>
      </c>
      <c r="AO36" s="106">
        <v>6.3</v>
      </c>
      <c r="AP36" s="106">
        <v>0.1</v>
      </c>
      <c r="AQ36" s="106">
        <f t="shared" si="18"/>
        <v>16.7454</v>
      </c>
      <c r="AR36" s="106">
        <f t="shared" si="19"/>
        <v>227.06928524999992</v>
      </c>
      <c r="AS36" s="106" t="s">
        <v>189</v>
      </c>
      <c r="AT36" s="106">
        <v>50.1</v>
      </c>
      <c r="AU36" s="106">
        <v>2.52</v>
      </c>
      <c r="AV36" s="106">
        <f t="shared" si="43"/>
        <v>9.9901471634999979</v>
      </c>
      <c r="AW36" s="106">
        <v>50000</v>
      </c>
      <c r="AX36" s="106">
        <v>23</v>
      </c>
      <c r="AY36" s="106" t="s">
        <v>204</v>
      </c>
      <c r="AZ36" s="106">
        <v>4422.03</v>
      </c>
      <c r="BA36" s="106">
        <v>6</v>
      </c>
      <c r="BB36" s="106">
        <f t="shared" si="42"/>
        <v>12.2048028</v>
      </c>
      <c r="BC36" s="106">
        <v>48.62</v>
      </c>
      <c r="BD36" s="106">
        <v>17.510000000000002</v>
      </c>
      <c r="BE36" s="106"/>
      <c r="BF36" s="106">
        <v>5.19</v>
      </c>
      <c r="BG36" s="106"/>
      <c r="BH36" s="149">
        <f t="shared" si="20"/>
        <v>608.72379276493132</v>
      </c>
      <c r="BI36" s="106">
        <f t="shared" si="5"/>
        <v>41.162793935918778</v>
      </c>
      <c r="BJ36" s="149">
        <f t="shared" si="21"/>
        <v>660.31415147466669</v>
      </c>
      <c r="BK36" s="154">
        <f t="shared" si="22"/>
        <v>588.55402373633115</v>
      </c>
      <c r="BL36" s="62"/>
      <c r="BM36" s="62"/>
      <c r="BN36" s="62"/>
      <c r="BO36" s="39"/>
      <c r="BS36" s="48"/>
    </row>
    <row r="37" spans="1:71" ht="63">
      <c r="A37" s="40" t="s">
        <v>125</v>
      </c>
      <c r="B37" s="52" t="s">
        <v>257</v>
      </c>
      <c r="C37" s="52" t="s">
        <v>36</v>
      </c>
      <c r="D37" s="52" t="s">
        <v>336</v>
      </c>
      <c r="E37" s="52">
        <v>4</v>
      </c>
      <c r="F37" s="52">
        <v>56.44</v>
      </c>
      <c r="G37" s="52">
        <v>8</v>
      </c>
      <c r="H37" s="54">
        <f t="shared" si="6"/>
        <v>4.5152000000000001</v>
      </c>
      <c r="I37" s="52">
        <v>10</v>
      </c>
      <c r="J37" s="52">
        <f t="shared" si="7"/>
        <v>5.6440000000000001</v>
      </c>
      <c r="K37" s="52"/>
      <c r="L37" s="52">
        <f t="shared" si="8"/>
        <v>0</v>
      </c>
      <c r="M37" s="52"/>
      <c r="N37" s="52">
        <v>25</v>
      </c>
      <c r="O37" s="52">
        <f t="shared" si="9"/>
        <v>14.11</v>
      </c>
      <c r="P37" s="52"/>
      <c r="Q37" s="52"/>
      <c r="R37" s="52">
        <v>40</v>
      </c>
      <c r="S37" s="52">
        <f t="shared" si="10"/>
        <v>32.283679999999997</v>
      </c>
      <c r="T37" s="52">
        <v>30</v>
      </c>
      <c r="U37" s="52">
        <f t="shared" si="11"/>
        <v>33.897863999999998</v>
      </c>
      <c r="V37" s="52">
        <v>30</v>
      </c>
      <c r="W37" s="52">
        <f t="shared" si="12"/>
        <v>33.897863999999998</v>
      </c>
      <c r="X37" s="106">
        <f t="shared" si="13"/>
        <v>180.78860799999998</v>
      </c>
      <c r="Y37" s="106">
        <f t="shared" si="0"/>
        <v>1.5228426395939085</v>
      </c>
      <c r="Z37" s="106">
        <f t="shared" si="14"/>
        <v>10.847316479999998</v>
      </c>
      <c r="AA37" s="106">
        <f t="shared" si="15"/>
        <v>12.655202559999999</v>
      </c>
      <c r="AB37" s="106">
        <f t="shared" si="16"/>
        <v>205.81396967959387</v>
      </c>
      <c r="AC37" s="106">
        <f t="shared" si="34"/>
        <v>62.155818843237348</v>
      </c>
      <c r="AD37" s="106">
        <f t="shared" si="1"/>
        <v>20.1697690286002</v>
      </c>
      <c r="AE37" s="106">
        <f t="shared" si="2"/>
        <v>10.427564773816625</v>
      </c>
      <c r="AF37" s="106" t="s">
        <v>99</v>
      </c>
      <c r="AG37" s="129">
        <v>26.58</v>
      </c>
      <c r="AH37" s="106">
        <v>27</v>
      </c>
      <c r="AI37" s="130">
        <v>35.1</v>
      </c>
      <c r="AJ37" s="130">
        <v>36.99</v>
      </c>
      <c r="AK37" s="130">
        <v>39.15</v>
      </c>
      <c r="AL37" s="106">
        <f t="shared" si="17"/>
        <v>36.427500000000002</v>
      </c>
      <c r="AM37" s="106">
        <f t="shared" si="41"/>
        <v>222.69587849999999</v>
      </c>
      <c r="AN37" s="106" t="s">
        <v>184</v>
      </c>
      <c r="AO37" s="106">
        <v>6.3</v>
      </c>
      <c r="AP37" s="106">
        <v>0.1</v>
      </c>
      <c r="AQ37" s="106">
        <f t="shared" si="18"/>
        <v>16.7454</v>
      </c>
      <c r="AR37" s="106">
        <f t="shared" si="19"/>
        <v>239.44127849999998</v>
      </c>
      <c r="AS37" s="106" t="s">
        <v>189</v>
      </c>
      <c r="AT37" s="106">
        <v>50.1</v>
      </c>
      <c r="AU37" s="106">
        <v>2.52</v>
      </c>
      <c r="AV37" s="106">
        <f t="shared" si="43"/>
        <v>10.577802879000002</v>
      </c>
      <c r="AW37" s="106">
        <v>50000</v>
      </c>
      <c r="AX37" s="106">
        <v>23</v>
      </c>
      <c r="AY37" s="106" t="s">
        <v>204</v>
      </c>
      <c r="AZ37" s="106">
        <v>4422.03</v>
      </c>
      <c r="BA37" s="106">
        <v>6</v>
      </c>
      <c r="BB37" s="106">
        <f t="shared" si="42"/>
        <v>12.2048028</v>
      </c>
      <c r="BC37" s="106">
        <v>48.62</v>
      </c>
      <c r="BD37" s="106">
        <v>17.510000000000002</v>
      </c>
      <c r="BE37" s="106"/>
      <c r="BF37" s="106">
        <v>5.19</v>
      </c>
      <c r="BG37" s="106"/>
      <c r="BH37" s="149">
        <f t="shared" si="20"/>
        <v>621.68344173043147</v>
      </c>
      <c r="BI37" s="106">
        <f t="shared" si="5"/>
        <v>41.162793935918778</v>
      </c>
      <c r="BJ37" s="149">
        <f t="shared" si="21"/>
        <v>673.27380044016684</v>
      </c>
      <c r="BK37" s="154">
        <f t="shared" si="22"/>
        <v>601.5136727018313</v>
      </c>
      <c r="BL37" s="62"/>
      <c r="BM37" s="62"/>
      <c r="BN37" s="62"/>
      <c r="BO37" s="39"/>
      <c r="BS37" s="48"/>
    </row>
    <row r="38" spans="1:71" ht="63">
      <c r="A38" s="40" t="s">
        <v>126</v>
      </c>
      <c r="B38" s="52" t="s">
        <v>258</v>
      </c>
      <c r="C38" s="52" t="s">
        <v>37</v>
      </c>
      <c r="D38" s="52" t="s">
        <v>336</v>
      </c>
      <c r="E38" s="52">
        <v>4</v>
      </c>
      <c r="F38" s="52">
        <v>56.44</v>
      </c>
      <c r="G38" s="52">
        <v>8</v>
      </c>
      <c r="H38" s="54">
        <f t="shared" si="6"/>
        <v>4.5152000000000001</v>
      </c>
      <c r="I38" s="52">
        <v>10</v>
      </c>
      <c r="J38" s="52">
        <f t="shared" si="7"/>
        <v>5.6440000000000001</v>
      </c>
      <c r="K38" s="52"/>
      <c r="L38" s="52">
        <f t="shared" si="8"/>
        <v>0</v>
      </c>
      <c r="M38" s="52"/>
      <c r="N38" s="52">
        <v>25</v>
      </c>
      <c r="O38" s="52">
        <f t="shared" si="9"/>
        <v>14.11</v>
      </c>
      <c r="P38" s="52"/>
      <c r="Q38" s="52"/>
      <c r="R38" s="52">
        <v>40</v>
      </c>
      <c r="S38" s="52">
        <f t="shared" si="10"/>
        <v>32.283679999999997</v>
      </c>
      <c r="T38" s="52">
        <v>30</v>
      </c>
      <c r="U38" s="52">
        <f t="shared" si="11"/>
        <v>33.897863999999998</v>
      </c>
      <c r="V38" s="52">
        <v>30</v>
      </c>
      <c r="W38" s="52">
        <f t="shared" si="12"/>
        <v>33.897863999999998</v>
      </c>
      <c r="X38" s="106">
        <f t="shared" si="13"/>
        <v>180.78860799999998</v>
      </c>
      <c r="Y38" s="106">
        <f t="shared" si="0"/>
        <v>1.5228426395939085</v>
      </c>
      <c r="Z38" s="106">
        <f t="shared" si="14"/>
        <v>10.847316479999998</v>
      </c>
      <c r="AA38" s="106">
        <f t="shared" si="15"/>
        <v>12.655202559999999</v>
      </c>
      <c r="AB38" s="106">
        <f t="shared" si="16"/>
        <v>205.81396967959387</v>
      </c>
      <c r="AC38" s="106">
        <f t="shared" si="34"/>
        <v>62.155818843237348</v>
      </c>
      <c r="AD38" s="106">
        <f t="shared" si="1"/>
        <v>20.1697690286002</v>
      </c>
      <c r="AE38" s="106">
        <f t="shared" si="2"/>
        <v>10.427564773816625</v>
      </c>
      <c r="AF38" s="106" t="s">
        <v>99</v>
      </c>
      <c r="AG38" s="129">
        <v>26.58</v>
      </c>
      <c r="AH38" s="106">
        <v>27</v>
      </c>
      <c r="AI38" s="130">
        <v>35.1</v>
      </c>
      <c r="AJ38" s="130">
        <v>36.99</v>
      </c>
      <c r="AK38" s="130">
        <v>39.15</v>
      </c>
      <c r="AL38" s="106">
        <f t="shared" si="17"/>
        <v>36.427500000000002</v>
      </c>
      <c r="AM38" s="106">
        <f t="shared" si="41"/>
        <v>222.69587849999999</v>
      </c>
      <c r="AN38" s="106" t="s">
        <v>184</v>
      </c>
      <c r="AO38" s="106">
        <v>6.3</v>
      </c>
      <c r="AP38" s="106">
        <v>0.1</v>
      </c>
      <c r="AQ38" s="106">
        <f t="shared" si="18"/>
        <v>16.7454</v>
      </c>
      <c r="AR38" s="106">
        <f t="shared" si="19"/>
        <v>239.44127849999998</v>
      </c>
      <c r="AS38" s="106" t="s">
        <v>189</v>
      </c>
      <c r="AT38" s="106">
        <v>50.1</v>
      </c>
      <c r="AU38" s="106">
        <v>2.52</v>
      </c>
      <c r="AV38" s="106">
        <f t="shared" si="43"/>
        <v>10.577802879000002</v>
      </c>
      <c r="AW38" s="106">
        <v>50000</v>
      </c>
      <c r="AX38" s="106">
        <v>23</v>
      </c>
      <c r="AY38" s="106" t="s">
        <v>204</v>
      </c>
      <c r="AZ38" s="106">
        <v>4422.03</v>
      </c>
      <c r="BA38" s="106">
        <v>6</v>
      </c>
      <c r="BB38" s="106">
        <f t="shared" si="42"/>
        <v>12.2048028</v>
      </c>
      <c r="BC38" s="106">
        <v>48.62</v>
      </c>
      <c r="BD38" s="106">
        <v>17.510000000000002</v>
      </c>
      <c r="BE38" s="106"/>
      <c r="BF38" s="106">
        <v>5.19</v>
      </c>
      <c r="BG38" s="106"/>
      <c r="BH38" s="149">
        <f t="shared" si="20"/>
        <v>621.68344173043147</v>
      </c>
      <c r="BI38" s="106">
        <f t="shared" si="5"/>
        <v>41.162793935918778</v>
      </c>
      <c r="BJ38" s="149">
        <f t="shared" si="21"/>
        <v>673.27380044016684</v>
      </c>
      <c r="BK38" s="154">
        <f t="shared" si="22"/>
        <v>601.5136727018313</v>
      </c>
      <c r="BL38" s="62"/>
      <c r="BM38" s="62"/>
      <c r="BN38" s="62"/>
      <c r="BO38" s="39"/>
      <c r="BS38" s="48"/>
    </row>
    <row r="39" spans="1:71" ht="63">
      <c r="A39" s="40" t="s">
        <v>127</v>
      </c>
      <c r="B39" s="52" t="s">
        <v>258</v>
      </c>
      <c r="C39" s="52" t="s">
        <v>5</v>
      </c>
      <c r="D39" s="52" t="s">
        <v>336</v>
      </c>
      <c r="E39" s="52">
        <v>4</v>
      </c>
      <c r="F39" s="52">
        <v>56.44</v>
      </c>
      <c r="G39" s="52">
        <v>8</v>
      </c>
      <c r="H39" s="54">
        <f t="shared" si="6"/>
        <v>4.5152000000000001</v>
      </c>
      <c r="I39" s="52">
        <v>10</v>
      </c>
      <c r="J39" s="52">
        <f t="shared" si="7"/>
        <v>5.6440000000000001</v>
      </c>
      <c r="K39" s="52"/>
      <c r="L39" s="52">
        <f t="shared" si="8"/>
        <v>0</v>
      </c>
      <c r="M39" s="52"/>
      <c r="N39" s="52">
        <v>25</v>
      </c>
      <c r="O39" s="52">
        <f t="shared" si="9"/>
        <v>14.11</v>
      </c>
      <c r="P39" s="52"/>
      <c r="Q39" s="52"/>
      <c r="R39" s="52">
        <v>40</v>
      </c>
      <c r="S39" s="52">
        <f t="shared" si="10"/>
        <v>32.283679999999997</v>
      </c>
      <c r="T39" s="52">
        <v>30</v>
      </c>
      <c r="U39" s="52">
        <f t="shared" si="11"/>
        <v>33.897863999999998</v>
      </c>
      <c r="V39" s="52">
        <v>30</v>
      </c>
      <c r="W39" s="52">
        <f t="shared" si="12"/>
        <v>33.897863999999998</v>
      </c>
      <c r="X39" s="106">
        <f t="shared" si="13"/>
        <v>180.78860799999998</v>
      </c>
      <c r="Y39" s="106">
        <f t="shared" si="0"/>
        <v>1.5228426395939085</v>
      </c>
      <c r="Z39" s="106">
        <f t="shared" si="14"/>
        <v>10.847316479999998</v>
      </c>
      <c r="AA39" s="106">
        <f t="shared" si="15"/>
        <v>12.655202559999999</v>
      </c>
      <c r="AB39" s="106">
        <f t="shared" si="16"/>
        <v>205.81396967959387</v>
      </c>
      <c r="AC39" s="106">
        <f t="shared" si="34"/>
        <v>62.155818843237348</v>
      </c>
      <c r="AD39" s="106">
        <f t="shared" si="1"/>
        <v>20.1697690286002</v>
      </c>
      <c r="AE39" s="106">
        <f t="shared" si="2"/>
        <v>10.427564773816625</v>
      </c>
      <c r="AF39" s="106" t="s">
        <v>99</v>
      </c>
      <c r="AG39" s="129">
        <v>26.58</v>
      </c>
      <c r="AH39" s="106">
        <v>27</v>
      </c>
      <c r="AI39" s="130">
        <v>35.1</v>
      </c>
      <c r="AJ39" s="130">
        <v>36.99</v>
      </c>
      <c r="AK39" s="130">
        <v>39.15</v>
      </c>
      <c r="AL39" s="106">
        <f t="shared" si="17"/>
        <v>36.427500000000002</v>
      </c>
      <c r="AM39" s="106">
        <f t="shared" si="41"/>
        <v>222.69587849999999</v>
      </c>
      <c r="AN39" s="106" t="s">
        <v>184</v>
      </c>
      <c r="AO39" s="106">
        <v>6.3</v>
      </c>
      <c r="AP39" s="106">
        <v>0.1</v>
      </c>
      <c r="AQ39" s="106">
        <f t="shared" si="18"/>
        <v>16.7454</v>
      </c>
      <c r="AR39" s="106">
        <f t="shared" si="19"/>
        <v>239.44127849999998</v>
      </c>
      <c r="AS39" s="106" t="s">
        <v>189</v>
      </c>
      <c r="AT39" s="106">
        <v>50.1</v>
      </c>
      <c r="AU39" s="106">
        <v>2.52</v>
      </c>
      <c r="AV39" s="106">
        <f t="shared" si="43"/>
        <v>10.577802879000002</v>
      </c>
      <c r="AW39" s="106">
        <v>50000</v>
      </c>
      <c r="AX39" s="106">
        <v>23</v>
      </c>
      <c r="AY39" s="106" t="s">
        <v>204</v>
      </c>
      <c r="AZ39" s="106">
        <v>4422.03</v>
      </c>
      <c r="BA39" s="106">
        <v>6</v>
      </c>
      <c r="BB39" s="106">
        <f t="shared" si="42"/>
        <v>12.2048028</v>
      </c>
      <c r="BC39" s="106">
        <v>48.62</v>
      </c>
      <c r="BD39" s="106">
        <v>17.510000000000002</v>
      </c>
      <c r="BE39" s="106"/>
      <c r="BF39" s="106">
        <v>5.19</v>
      </c>
      <c r="BG39" s="106"/>
      <c r="BH39" s="149">
        <f t="shared" si="20"/>
        <v>621.68344173043147</v>
      </c>
      <c r="BI39" s="106">
        <f t="shared" si="5"/>
        <v>41.162793935918778</v>
      </c>
      <c r="BJ39" s="149">
        <f t="shared" si="21"/>
        <v>673.27380044016684</v>
      </c>
      <c r="BK39" s="154">
        <f t="shared" si="22"/>
        <v>601.5136727018313</v>
      </c>
      <c r="BL39" s="62"/>
      <c r="BM39" s="62"/>
      <c r="BN39" s="62"/>
      <c r="BO39" s="39"/>
      <c r="BS39" s="48"/>
    </row>
    <row r="40" spans="1:71" ht="47.25">
      <c r="A40" s="40" t="s">
        <v>128</v>
      </c>
      <c r="B40" s="52" t="s">
        <v>259</v>
      </c>
      <c r="C40" s="52" t="s">
        <v>39</v>
      </c>
      <c r="D40" s="52" t="s">
        <v>336</v>
      </c>
      <c r="E40" s="52">
        <v>4</v>
      </c>
      <c r="F40" s="52">
        <v>56.44</v>
      </c>
      <c r="G40" s="52">
        <v>12</v>
      </c>
      <c r="H40" s="54">
        <f t="shared" ref="H40:H46" si="44">F40*G40/100</f>
        <v>6.7728000000000002</v>
      </c>
      <c r="I40" s="52"/>
      <c r="J40" s="52">
        <f t="shared" ref="J40:J46" si="45">F40*I40/100</f>
        <v>0</v>
      </c>
      <c r="K40" s="52"/>
      <c r="L40" s="52">
        <f t="shared" ref="L40:L46" si="46">F40*K40/100</f>
        <v>0</v>
      </c>
      <c r="M40" s="52"/>
      <c r="N40" s="52">
        <v>25</v>
      </c>
      <c r="O40" s="52">
        <f t="shared" ref="O40:O46" si="47">F40*N40/100</f>
        <v>14.11</v>
      </c>
      <c r="P40" s="52"/>
      <c r="Q40" s="52"/>
      <c r="R40" s="52">
        <v>40</v>
      </c>
      <c r="S40" s="52">
        <f t="shared" ref="S40:S46" si="48">(F40+H40+J40+L40+M40+O40+Q40)*R40/100</f>
        <v>30.929120000000001</v>
      </c>
      <c r="T40" s="52">
        <v>30</v>
      </c>
      <c r="U40" s="52">
        <f t="shared" ref="U40:U46" si="49">(F40+H40+J40+L40+M40+O40+Q40+S40)*30/100</f>
        <v>32.475576000000004</v>
      </c>
      <c r="V40" s="52">
        <v>30</v>
      </c>
      <c r="W40" s="52">
        <f t="shared" ref="W40:W46" si="50">U40</f>
        <v>32.475576000000004</v>
      </c>
      <c r="X40" s="106">
        <f t="shared" ref="X40:X46" si="51">F40+H40+J40+L40+M40+O40+Q40+S40+U40+W40</f>
        <v>173.20307200000002</v>
      </c>
      <c r="Y40" s="106">
        <f t="shared" si="0"/>
        <v>1.5228426395939085</v>
      </c>
      <c r="Z40" s="106">
        <f t="shared" si="14"/>
        <v>10.39218432</v>
      </c>
      <c r="AA40" s="106">
        <f t="shared" si="15"/>
        <v>12.124215040000003</v>
      </c>
      <c r="AB40" s="106">
        <f t="shared" si="16"/>
        <v>197.24231399959393</v>
      </c>
      <c r="AC40" s="106">
        <f t="shared" si="34"/>
        <v>59.567178827877363</v>
      </c>
      <c r="AD40" s="106">
        <f t="shared" si="1"/>
        <v>19.329746771960206</v>
      </c>
      <c r="AE40" s="106">
        <f t="shared" si="2"/>
        <v>9.9932818387894287</v>
      </c>
      <c r="AF40" s="106" t="s">
        <v>99</v>
      </c>
      <c r="AG40" s="129">
        <v>26.58</v>
      </c>
      <c r="AH40" s="106">
        <v>24.5</v>
      </c>
      <c r="AI40" s="130">
        <v>34.300000000000004</v>
      </c>
      <c r="AJ40" s="130">
        <v>36.015000000000008</v>
      </c>
      <c r="AK40" s="130">
        <v>37.975000000000001</v>
      </c>
      <c r="AL40" s="106">
        <f t="shared" ref="AL40:AL46" si="52">(AI40*7+AJ40*2+AK40*3)/12</f>
        <v>35.504583333333336</v>
      </c>
      <c r="AM40" s="106">
        <f t="shared" si="41"/>
        <v>217.05371974999997</v>
      </c>
      <c r="AN40" s="106"/>
      <c r="AO40" s="106"/>
      <c r="AP40" s="106"/>
      <c r="AQ40" s="106">
        <f t="shared" ref="AQ40:AQ46" si="53">AG40*AO40*AP40</f>
        <v>0</v>
      </c>
      <c r="AR40" s="106">
        <f t="shared" ref="AR40:AR46" si="54">AM40+AQ40</f>
        <v>217.05371974999997</v>
      </c>
      <c r="AS40" s="106" t="s">
        <v>189</v>
      </c>
      <c r="AT40" s="106">
        <v>50.1</v>
      </c>
      <c r="AU40" s="106">
        <v>2.52</v>
      </c>
      <c r="AV40" s="106">
        <f t="shared" si="43"/>
        <v>10.3098067065</v>
      </c>
      <c r="AW40" s="106">
        <v>50000</v>
      </c>
      <c r="AX40" s="106">
        <v>23</v>
      </c>
      <c r="AY40" s="106" t="s">
        <v>204</v>
      </c>
      <c r="AZ40" s="106">
        <v>4422.03</v>
      </c>
      <c r="BA40" s="106">
        <v>6</v>
      </c>
      <c r="BB40" s="106">
        <f t="shared" si="42"/>
        <v>12.2048028</v>
      </c>
      <c r="BC40" s="106">
        <v>48.62</v>
      </c>
      <c r="BD40" s="106">
        <v>17.510000000000002</v>
      </c>
      <c r="BE40" s="106"/>
      <c r="BF40" s="106">
        <v>5.19</v>
      </c>
      <c r="BG40" s="106"/>
      <c r="BH40" s="149">
        <f t="shared" si="20"/>
        <v>587.02756885593158</v>
      </c>
      <c r="BI40" s="106">
        <f t="shared" si="5"/>
        <v>39.448462799918786</v>
      </c>
      <c r="BJ40" s="149">
        <f t="shared" si="21"/>
        <v>636.46931349463989</v>
      </c>
      <c r="BK40" s="154">
        <f t="shared" si="22"/>
        <v>567.69782208397135</v>
      </c>
      <c r="BL40" s="62"/>
      <c r="BM40" s="62"/>
      <c r="BN40" s="62"/>
      <c r="BO40" s="39"/>
      <c r="BS40" s="48"/>
    </row>
    <row r="41" spans="1:71" ht="47.25">
      <c r="A41" s="41" t="s">
        <v>129</v>
      </c>
      <c r="B41" s="52" t="s">
        <v>260</v>
      </c>
      <c r="C41" s="52" t="s">
        <v>40</v>
      </c>
      <c r="D41" s="52" t="s">
        <v>336</v>
      </c>
      <c r="E41" s="52">
        <v>4</v>
      </c>
      <c r="F41" s="52">
        <v>56.44</v>
      </c>
      <c r="G41" s="52">
        <v>12</v>
      </c>
      <c r="H41" s="54">
        <f t="shared" si="44"/>
        <v>6.7728000000000002</v>
      </c>
      <c r="I41" s="52"/>
      <c r="J41" s="52">
        <f t="shared" si="45"/>
        <v>0</v>
      </c>
      <c r="K41" s="52"/>
      <c r="L41" s="52">
        <f t="shared" si="46"/>
        <v>0</v>
      </c>
      <c r="M41" s="52"/>
      <c r="N41" s="52">
        <v>25</v>
      </c>
      <c r="O41" s="52">
        <f t="shared" si="47"/>
        <v>14.11</v>
      </c>
      <c r="P41" s="52"/>
      <c r="Q41" s="52"/>
      <c r="R41" s="52">
        <v>40</v>
      </c>
      <c r="S41" s="52">
        <f t="shared" si="48"/>
        <v>30.929120000000001</v>
      </c>
      <c r="T41" s="52">
        <v>30</v>
      </c>
      <c r="U41" s="52">
        <f t="shared" si="49"/>
        <v>32.475576000000004</v>
      </c>
      <c r="V41" s="52">
        <v>30</v>
      </c>
      <c r="W41" s="52">
        <f t="shared" si="50"/>
        <v>32.475576000000004</v>
      </c>
      <c r="X41" s="106">
        <f t="shared" si="51"/>
        <v>173.20307200000002</v>
      </c>
      <c r="Y41" s="106">
        <f t="shared" si="0"/>
        <v>1.5228426395939085</v>
      </c>
      <c r="Z41" s="106">
        <f t="shared" si="14"/>
        <v>10.39218432</v>
      </c>
      <c r="AA41" s="106">
        <f t="shared" si="15"/>
        <v>12.124215040000003</v>
      </c>
      <c r="AB41" s="106">
        <f t="shared" si="16"/>
        <v>197.24231399959393</v>
      </c>
      <c r="AC41" s="106">
        <f t="shared" si="34"/>
        <v>59.567178827877363</v>
      </c>
      <c r="AD41" s="106">
        <f t="shared" si="1"/>
        <v>19.329746771960206</v>
      </c>
      <c r="AE41" s="106">
        <f t="shared" si="2"/>
        <v>9.9932818387894287</v>
      </c>
      <c r="AF41" s="106" t="s">
        <v>99</v>
      </c>
      <c r="AG41" s="129">
        <v>26.58</v>
      </c>
      <c r="AH41" s="106">
        <v>15</v>
      </c>
      <c r="AI41" s="130">
        <v>21</v>
      </c>
      <c r="AJ41" s="130">
        <v>22.05</v>
      </c>
      <c r="AK41" s="130">
        <v>23.25</v>
      </c>
      <c r="AL41" s="106">
        <f t="shared" si="52"/>
        <v>21.737500000000001</v>
      </c>
      <c r="AM41" s="106">
        <f t="shared" si="41"/>
        <v>132.89003249999999</v>
      </c>
      <c r="AN41" s="106"/>
      <c r="AO41" s="106"/>
      <c r="AP41" s="106"/>
      <c r="AQ41" s="106">
        <f t="shared" si="53"/>
        <v>0</v>
      </c>
      <c r="AR41" s="106">
        <f t="shared" si="54"/>
        <v>132.89003249999999</v>
      </c>
      <c r="AS41" s="106" t="s">
        <v>189</v>
      </c>
      <c r="AT41" s="106">
        <v>50.1</v>
      </c>
      <c r="AU41" s="106">
        <v>2.52</v>
      </c>
      <c r="AV41" s="106">
        <f t="shared" si="43"/>
        <v>6.3121265550000007</v>
      </c>
      <c r="AW41" s="106">
        <v>50000</v>
      </c>
      <c r="AX41" s="106">
        <v>23</v>
      </c>
      <c r="AY41" s="106" t="s">
        <v>205</v>
      </c>
      <c r="AZ41" s="106">
        <v>6424.57</v>
      </c>
      <c r="BA41" s="106">
        <v>6</v>
      </c>
      <c r="BB41" s="106">
        <f t="shared" si="42"/>
        <v>17.731813199999998</v>
      </c>
      <c r="BC41" s="106">
        <v>48.62</v>
      </c>
      <c r="BD41" s="106">
        <v>17.510000000000002</v>
      </c>
      <c r="BE41" s="106"/>
      <c r="BF41" s="106">
        <v>5.19</v>
      </c>
      <c r="BG41" s="106"/>
      <c r="BH41" s="149">
        <f t="shared" si="20"/>
        <v>504.39321185443151</v>
      </c>
      <c r="BI41" s="106">
        <f t="shared" si="5"/>
        <v>39.448462799918786</v>
      </c>
      <c r="BJ41" s="149">
        <f t="shared" si="21"/>
        <v>553.83495649313977</v>
      </c>
      <c r="BK41" s="154">
        <f t="shared" si="22"/>
        <v>485.06346508247128</v>
      </c>
      <c r="BL41" s="62"/>
      <c r="BM41" s="62"/>
      <c r="BN41" s="62"/>
      <c r="BO41" s="39"/>
      <c r="BS41" s="48"/>
    </row>
    <row r="42" spans="1:71" ht="63">
      <c r="A42" s="41" t="s">
        <v>130</v>
      </c>
      <c r="B42" s="52" t="s">
        <v>41</v>
      </c>
      <c r="C42" s="52" t="s">
        <v>42</v>
      </c>
      <c r="D42" s="52" t="s">
        <v>336</v>
      </c>
      <c r="E42" s="52">
        <v>4</v>
      </c>
      <c r="F42" s="52">
        <v>56.44</v>
      </c>
      <c r="G42" s="52">
        <v>8</v>
      </c>
      <c r="H42" s="54">
        <f t="shared" si="44"/>
        <v>4.5152000000000001</v>
      </c>
      <c r="I42" s="52"/>
      <c r="J42" s="52">
        <f t="shared" si="45"/>
        <v>0</v>
      </c>
      <c r="K42" s="52"/>
      <c r="L42" s="52">
        <f t="shared" si="46"/>
        <v>0</v>
      </c>
      <c r="M42" s="52"/>
      <c r="N42" s="52">
        <v>25</v>
      </c>
      <c r="O42" s="52">
        <f t="shared" si="47"/>
        <v>14.11</v>
      </c>
      <c r="P42" s="52"/>
      <c r="Q42" s="52"/>
      <c r="R42" s="52">
        <v>40</v>
      </c>
      <c r="S42" s="52">
        <f t="shared" si="48"/>
        <v>30.02608</v>
      </c>
      <c r="T42" s="52">
        <v>30</v>
      </c>
      <c r="U42" s="52">
        <f t="shared" si="49"/>
        <v>31.527384000000001</v>
      </c>
      <c r="V42" s="52">
        <v>30</v>
      </c>
      <c r="W42" s="52">
        <f t="shared" si="50"/>
        <v>31.527384000000001</v>
      </c>
      <c r="X42" s="106">
        <f t="shared" si="51"/>
        <v>168.14604800000004</v>
      </c>
      <c r="Y42" s="106">
        <f t="shared" si="0"/>
        <v>1.5228426395939085</v>
      </c>
      <c r="Z42" s="106">
        <f t="shared" si="14"/>
        <v>10.088762880000003</v>
      </c>
      <c r="AA42" s="106">
        <f t="shared" si="15"/>
        <v>11.770223360000003</v>
      </c>
      <c r="AB42" s="106">
        <f t="shared" si="16"/>
        <v>191.52787687959392</v>
      </c>
      <c r="AC42" s="106">
        <f t="shared" si="34"/>
        <v>57.841418817637361</v>
      </c>
      <c r="AD42" s="106">
        <f t="shared" si="1"/>
        <v>18.769731934200205</v>
      </c>
      <c r="AE42" s="106">
        <f t="shared" si="2"/>
        <v>9.7037598821046274</v>
      </c>
      <c r="AF42" s="106" t="s">
        <v>99</v>
      </c>
      <c r="AG42" s="129">
        <v>26.58</v>
      </c>
      <c r="AH42" s="106">
        <v>24.5</v>
      </c>
      <c r="AI42" s="130">
        <v>34.300000000000004</v>
      </c>
      <c r="AJ42" s="130">
        <v>36.015000000000008</v>
      </c>
      <c r="AK42" s="130">
        <v>37.975000000000001</v>
      </c>
      <c r="AL42" s="106">
        <f t="shared" si="52"/>
        <v>35.504583333333336</v>
      </c>
      <c r="AM42" s="106">
        <f t="shared" si="41"/>
        <v>217.05371974999997</v>
      </c>
      <c r="AN42" s="106"/>
      <c r="AO42" s="106"/>
      <c r="AP42" s="106"/>
      <c r="AQ42" s="106">
        <f t="shared" si="53"/>
        <v>0</v>
      </c>
      <c r="AR42" s="106">
        <f t="shared" si="54"/>
        <v>217.05371974999997</v>
      </c>
      <c r="AS42" s="106" t="s">
        <v>189</v>
      </c>
      <c r="AT42" s="106">
        <v>50.1</v>
      </c>
      <c r="AU42" s="106">
        <v>2.52</v>
      </c>
      <c r="AV42" s="106">
        <f t="shared" si="43"/>
        <v>10.3098067065</v>
      </c>
      <c r="AW42" s="106">
        <v>50000</v>
      </c>
      <c r="AX42" s="106">
        <v>23</v>
      </c>
      <c r="AY42" s="106" t="s">
        <v>204</v>
      </c>
      <c r="AZ42" s="106">
        <v>4422.03</v>
      </c>
      <c r="BA42" s="106">
        <v>6</v>
      </c>
      <c r="BB42" s="106">
        <f t="shared" si="42"/>
        <v>12.2048028</v>
      </c>
      <c r="BC42" s="106">
        <v>48.62</v>
      </c>
      <c r="BD42" s="106">
        <v>17.510000000000002</v>
      </c>
      <c r="BE42" s="106"/>
      <c r="BF42" s="106">
        <v>5.19</v>
      </c>
      <c r="BG42" s="106"/>
      <c r="BH42" s="149">
        <f t="shared" si="20"/>
        <v>579.02735688793143</v>
      </c>
      <c r="BI42" s="106">
        <f t="shared" si="5"/>
        <v>38.305575375918785</v>
      </c>
      <c r="BJ42" s="149">
        <f t="shared" si="21"/>
        <v>627.03669214595482</v>
      </c>
      <c r="BK42" s="154">
        <f t="shared" si="22"/>
        <v>560.25762495373124</v>
      </c>
      <c r="BL42" s="62"/>
      <c r="BM42" s="62"/>
      <c r="BN42" s="62"/>
      <c r="BO42" s="39"/>
      <c r="BS42" s="48"/>
    </row>
    <row r="43" spans="1:71" ht="47.25">
      <c r="A43" s="41" t="s">
        <v>131</v>
      </c>
      <c r="B43" s="52" t="s">
        <v>38</v>
      </c>
      <c r="C43" s="52" t="s">
        <v>43</v>
      </c>
      <c r="D43" s="52" t="s">
        <v>336</v>
      </c>
      <c r="E43" s="52">
        <v>4</v>
      </c>
      <c r="F43" s="52">
        <v>56.44</v>
      </c>
      <c r="G43" s="52">
        <v>12</v>
      </c>
      <c r="H43" s="54">
        <f t="shared" si="44"/>
        <v>6.7728000000000002</v>
      </c>
      <c r="I43" s="52"/>
      <c r="J43" s="52">
        <f t="shared" si="45"/>
        <v>0</v>
      </c>
      <c r="K43" s="52"/>
      <c r="L43" s="52">
        <f t="shared" si="46"/>
        <v>0</v>
      </c>
      <c r="M43" s="52"/>
      <c r="N43" s="52">
        <v>25</v>
      </c>
      <c r="O43" s="52">
        <f t="shared" si="47"/>
        <v>14.11</v>
      </c>
      <c r="P43" s="52"/>
      <c r="Q43" s="52"/>
      <c r="R43" s="52">
        <v>40</v>
      </c>
      <c r="S43" s="52">
        <f t="shared" si="48"/>
        <v>30.929120000000001</v>
      </c>
      <c r="T43" s="52">
        <v>30</v>
      </c>
      <c r="U43" s="52">
        <f t="shared" si="49"/>
        <v>32.475576000000004</v>
      </c>
      <c r="V43" s="52">
        <v>30</v>
      </c>
      <c r="W43" s="52">
        <f t="shared" si="50"/>
        <v>32.475576000000004</v>
      </c>
      <c r="X43" s="106">
        <f t="shared" si="51"/>
        <v>173.20307200000002</v>
      </c>
      <c r="Y43" s="106">
        <f t="shared" si="0"/>
        <v>1.5228426395939085</v>
      </c>
      <c r="Z43" s="106">
        <f t="shared" si="14"/>
        <v>10.39218432</v>
      </c>
      <c r="AA43" s="106">
        <f t="shared" si="15"/>
        <v>12.124215040000003</v>
      </c>
      <c r="AB43" s="106">
        <f t="shared" si="16"/>
        <v>197.24231399959393</v>
      </c>
      <c r="AC43" s="106">
        <f t="shared" si="34"/>
        <v>59.567178827877363</v>
      </c>
      <c r="AD43" s="106">
        <f t="shared" si="1"/>
        <v>19.329746771960206</v>
      </c>
      <c r="AE43" s="106">
        <f t="shared" si="2"/>
        <v>9.9932818387894287</v>
      </c>
      <c r="AF43" s="106" t="s">
        <v>99</v>
      </c>
      <c r="AG43" s="129">
        <v>26.58</v>
      </c>
      <c r="AH43" s="106">
        <v>24.5</v>
      </c>
      <c r="AI43" s="130">
        <v>34.300000000000004</v>
      </c>
      <c r="AJ43" s="130">
        <v>36.015000000000008</v>
      </c>
      <c r="AK43" s="130">
        <v>37.975000000000001</v>
      </c>
      <c r="AL43" s="106">
        <f t="shared" si="52"/>
        <v>35.504583333333336</v>
      </c>
      <c r="AM43" s="106">
        <f t="shared" si="41"/>
        <v>217.05371974999997</v>
      </c>
      <c r="AN43" s="106"/>
      <c r="AO43" s="106"/>
      <c r="AP43" s="106"/>
      <c r="AQ43" s="106">
        <f t="shared" si="53"/>
        <v>0</v>
      </c>
      <c r="AR43" s="106">
        <f t="shared" si="54"/>
        <v>217.05371974999997</v>
      </c>
      <c r="AS43" s="106" t="s">
        <v>189</v>
      </c>
      <c r="AT43" s="106">
        <v>50.1</v>
      </c>
      <c r="AU43" s="106">
        <v>2.52</v>
      </c>
      <c r="AV43" s="106">
        <f t="shared" si="43"/>
        <v>10.3098067065</v>
      </c>
      <c r="AW43" s="106">
        <v>50000</v>
      </c>
      <c r="AX43" s="106">
        <v>23</v>
      </c>
      <c r="AY43" s="106" t="s">
        <v>204</v>
      </c>
      <c r="AZ43" s="106">
        <v>4422.03</v>
      </c>
      <c r="BA43" s="106">
        <v>6</v>
      </c>
      <c r="BB43" s="106">
        <f t="shared" si="42"/>
        <v>12.2048028</v>
      </c>
      <c r="BC43" s="106">
        <v>48.62</v>
      </c>
      <c r="BD43" s="106">
        <v>17.510000000000002</v>
      </c>
      <c r="BE43" s="106"/>
      <c r="BF43" s="106">
        <v>5.19</v>
      </c>
      <c r="BG43" s="106"/>
      <c r="BH43" s="149">
        <f t="shared" si="20"/>
        <v>587.02756885593158</v>
      </c>
      <c r="BI43" s="106">
        <f t="shared" si="5"/>
        <v>39.448462799918786</v>
      </c>
      <c r="BJ43" s="149">
        <f t="shared" si="21"/>
        <v>636.46931349463989</v>
      </c>
      <c r="BK43" s="154">
        <f t="shared" si="22"/>
        <v>567.69782208397135</v>
      </c>
      <c r="BL43" s="62"/>
      <c r="BM43" s="62"/>
      <c r="BN43" s="62"/>
      <c r="BO43" s="39"/>
      <c r="BS43" s="48"/>
    </row>
    <row r="44" spans="1:71" ht="78.75">
      <c r="A44" s="41" t="s">
        <v>132</v>
      </c>
      <c r="B44" s="52" t="s">
        <v>256</v>
      </c>
      <c r="C44" s="52" t="s">
        <v>238</v>
      </c>
      <c r="D44" s="52" t="s">
        <v>336</v>
      </c>
      <c r="E44" s="52">
        <v>4</v>
      </c>
      <c r="F44" s="52">
        <v>56.44</v>
      </c>
      <c r="G44" s="52">
        <v>8</v>
      </c>
      <c r="H44" s="54">
        <f>F44*G44/100</f>
        <v>4.5152000000000001</v>
      </c>
      <c r="I44" s="52">
        <v>10</v>
      </c>
      <c r="J44" s="52">
        <f>F44*I44/100</f>
        <v>5.6440000000000001</v>
      </c>
      <c r="K44" s="52"/>
      <c r="L44" s="52">
        <f>F44*K44/100</f>
        <v>0</v>
      </c>
      <c r="M44" s="52"/>
      <c r="N44" s="52">
        <v>25</v>
      </c>
      <c r="O44" s="52">
        <f>F44*N44/100</f>
        <v>14.11</v>
      </c>
      <c r="P44" s="52"/>
      <c r="Q44" s="52"/>
      <c r="R44" s="52">
        <v>40</v>
      </c>
      <c r="S44" s="52">
        <f>(F44+H44+J44+L44+M44+O44+Q44)*R44/100</f>
        <v>32.283679999999997</v>
      </c>
      <c r="T44" s="52">
        <v>30</v>
      </c>
      <c r="U44" s="52">
        <f>(F44+H44+J44+L44+M44+O44+Q44+S44)*30/100</f>
        <v>33.897863999999998</v>
      </c>
      <c r="V44" s="52">
        <v>30</v>
      </c>
      <c r="W44" s="52">
        <f>U44</f>
        <v>33.897863999999998</v>
      </c>
      <c r="X44" s="106">
        <f>F44+H44+J44+L44+M44+O44+Q44+S44+U44+W44</f>
        <v>180.78860799999998</v>
      </c>
      <c r="Y44" s="106">
        <f t="shared" si="0"/>
        <v>1.5228426395939085</v>
      </c>
      <c r="Z44" s="106">
        <f>X44*0.06</f>
        <v>10.847316479999998</v>
      </c>
      <c r="AA44" s="106">
        <f>X44*0.07</f>
        <v>12.655202559999999</v>
      </c>
      <c r="AB44" s="106">
        <f>X44+Y44+Z44+AA44</f>
        <v>205.81396967959387</v>
      </c>
      <c r="AC44" s="106">
        <f t="shared" si="34"/>
        <v>62.155818843237348</v>
      </c>
      <c r="AD44" s="106">
        <f t="shared" si="1"/>
        <v>20.1697690286002</v>
      </c>
      <c r="AE44" s="106">
        <f t="shared" si="2"/>
        <v>10.427564773816625</v>
      </c>
      <c r="AF44" s="106" t="s">
        <v>99</v>
      </c>
      <c r="AG44" s="129">
        <v>26.58</v>
      </c>
      <c r="AH44" s="106">
        <v>27</v>
      </c>
      <c r="AI44" s="130">
        <v>35.1</v>
      </c>
      <c r="AJ44" s="130">
        <v>36.99</v>
      </c>
      <c r="AK44" s="130">
        <v>39.15</v>
      </c>
      <c r="AL44" s="106">
        <f>(AI44*7+AJ44*2+AK44*3)/12</f>
        <v>36.427500000000002</v>
      </c>
      <c r="AM44" s="106">
        <f>AG44*AL44/100*23</f>
        <v>222.69587849999999</v>
      </c>
      <c r="AN44" s="106" t="s">
        <v>184</v>
      </c>
      <c r="AO44" s="106">
        <v>6.3</v>
      </c>
      <c r="AP44" s="106">
        <v>0.1</v>
      </c>
      <c r="AQ44" s="106">
        <f>AG44*AO44*AP44</f>
        <v>16.7454</v>
      </c>
      <c r="AR44" s="106">
        <f>AM44+AQ44</f>
        <v>239.44127849999998</v>
      </c>
      <c r="AS44" s="106" t="s">
        <v>189</v>
      </c>
      <c r="AT44" s="106">
        <v>50.1</v>
      </c>
      <c r="AU44" s="106">
        <v>2.52</v>
      </c>
      <c r="AV44" s="106">
        <f>AL44/100*23*AU44/100*AT44</f>
        <v>10.577802879000002</v>
      </c>
      <c r="AW44" s="106">
        <v>50000</v>
      </c>
      <c r="AX44" s="106">
        <v>23</v>
      </c>
      <c r="AY44" s="106" t="s">
        <v>204</v>
      </c>
      <c r="AZ44" s="106">
        <v>4422.03</v>
      </c>
      <c r="BA44" s="106">
        <v>6</v>
      </c>
      <c r="BB44" s="106">
        <f>AZ44*BA44/AW44*AX44</f>
        <v>12.2048028</v>
      </c>
      <c r="BC44" s="106">
        <v>48.62</v>
      </c>
      <c r="BD44" s="106">
        <v>17.510000000000002</v>
      </c>
      <c r="BE44" s="106"/>
      <c r="BF44" s="106">
        <v>5.19</v>
      </c>
      <c r="BG44" s="106"/>
      <c r="BH44" s="149">
        <f>AB44+AC44+AD44+AR44+AV44+BB44+BC44+BD44+BE44+BF44</f>
        <v>621.68344173043147</v>
      </c>
      <c r="BI44" s="106">
        <f t="shared" si="5"/>
        <v>41.162793935918778</v>
      </c>
      <c r="BJ44" s="149">
        <f>BH44+AE44+BI44</f>
        <v>673.27380044016684</v>
      </c>
      <c r="BK44" s="154">
        <f>BH44-AD44</f>
        <v>601.5136727018313</v>
      </c>
      <c r="BL44" s="62"/>
      <c r="BM44" s="62"/>
      <c r="BN44" s="62"/>
      <c r="BO44" s="39"/>
      <c r="BS44" s="48"/>
    </row>
    <row r="45" spans="1:71" ht="47.25">
      <c r="A45" s="40" t="s">
        <v>133</v>
      </c>
      <c r="B45" s="52" t="s">
        <v>44</v>
      </c>
      <c r="C45" s="52" t="s">
        <v>45</v>
      </c>
      <c r="D45" s="52" t="s">
        <v>336</v>
      </c>
      <c r="E45" s="52">
        <v>4</v>
      </c>
      <c r="F45" s="52">
        <v>56.44</v>
      </c>
      <c r="G45" s="52">
        <v>8</v>
      </c>
      <c r="H45" s="54">
        <f t="shared" si="44"/>
        <v>4.5152000000000001</v>
      </c>
      <c r="I45" s="52"/>
      <c r="J45" s="52">
        <f t="shared" si="45"/>
        <v>0</v>
      </c>
      <c r="K45" s="52"/>
      <c r="L45" s="52">
        <f t="shared" si="46"/>
        <v>0</v>
      </c>
      <c r="M45" s="52"/>
      <c r="N45" s="52">
        <v>25</v>
      </c>
      <c r="O45" s="52">
        <f t="shared" si="47"/>
        <v>14.11</v>
      </c>
      <c r="P45" s="52"/>
      <c r="Q45" s="52"/>
      <c r="R45" s="52">
        <v>40</v>
      </c>
      <c r="S45" s="52">
        <f t="shared" si="48"/>
        <v>30.02608</v>
      </c>
      <c r="T45" s="52">
        <v>30</v>
      </c>
      <c r="U45" s="52">
        <f t="shared" si="49"/>
        <v>31.527384000000001</v>
      </c>
      <c r="V45" s="52">
        <v>30</v>
      </c>
      <c r="W45" s="52">
        <f t="shared" si="50"/>
        <v>31.527384000000001</v>
      </c>
      <c r="X45" s="106">
        <f t="shared" si="51"/>
        <v>168.14604800000004</v>
      </c>
      <c r="Y45" s="106">
        <f t="shared" si="0"/>
        <v>1.5228426395939085</v>
      </c>
      <c r="Z45" s="106">
        <f t="shared" si="14"/>
        <v>10.088762880000003</v>
      </c>
      <c r="AA45" s="106">
        <f t="shared" si="15"/>
        <v>11.770223360000003</v>
      </c>
      <c r="AB45" s="106">
        <f t="shared" si="16"/>
        <v>191.52787687959392</v>
      </c>
      <c r="AC45" s="106">
        <f t="shared" si="34"/>
        <v>57.841418817637361</v>
      </c>
      <c r="AD45" s="106">
        <f t="shared" si="1"/>
        <v>18.769731934200205</v>
      </c>
      <c r="AE45" s="106">
        <f t="shared" si="2"/>
        <v>9.7037598821046274</v>
      </c>
      <c r="AF45" s="106" t="s">
        <v>99</v>
      </c>
      <c r="AG45" s="129">
        <v>26.58</v>
      </c>
      <c r="AH45" s="106">
        <v>17</v>
      </c>
      <c r="AI45" s="131">
        <v>22.1</v>
      </c>
      <c r="AJ45" s="130">
        <v>23.290000000000003</v>
      </c>
      <c r="AK45" s="131">
        <v>24.65</v>
      </c>
      <c r="AL45" s="106">
        <f t="shared" si="52"/>
        <v>22.935833333333335</v>
      </c>
      <c r="AM45" s="106">
        <f t="shared" si="41"/>
        <v>140.2159235</v>
      </c>
      <c r="AN45" s="106"/>
      <c r="AO45" s="106"/>
      <c r="AP45" s="106"/>
      <c r="AQ45" s="106">
        <f t="shared" si="53"/>
        <v>0</v>
      </c>
      <c r="AR45" s="106">
        <f t="shared" si="54"/>
        <v>140.2159235</v>
      </c>
      <c r="AS45" s="106" t="s">
        <v>189</v>
      </c>
      <c r="AT45" s="106">
        <v>50.1</v>
      </c>
      <c r="AU45" s="106">
        <v>2.64</v>
      </c>
      <c r="AV45" s="106">
        <f t="shared" si="43"/>
        <v>6.9772456380000012</v>
      </c>
      <c r="AW45" s="106">
        <v>33000</v>
      </c>
      <c r="AX45" s="106">
        <v>23</v>
      </c>
      <c r="AY45" s="106" t="s">
        <v>206</v>
      </c>
      <c r="AZ45" s="106">
        <v>2279.66</v>
      </c>
      <c r="BA45" s="106">
        <v>4</v>
      </c>
      <c r="BB45" s="106">
        <f t="shared" si="42"/>
        <v>6.3554157575757566</v>
      </c>
      <c r="BC45" s="106">
        <v>48.62</v>
      </c>
      <c r="BD45" s="106">
        <v>17.510000000000002</v>
      </c>
      <c r="BE45" s="106"/>
      <c r="BF45" s="106">
        <v>5.19</v>
      </c>
      <c r="BG45" s="106"/>
      <c r="BH45" s="149">
        <f t="shared" si="20"/>
        <v>493.00761252700721</v>
      </c>
      <c r="BI45" s="106">
        <f t="shared" si="5"/>
        <v>38.305575375918785</v>
      </c>
      <c r="BJ45" s="149">
        <f t="shared" ref="BJ45:BJ61" si="55">BH45+AE45+BI45</f>
        <v>541.01694778503065</v>
      </c>
      <c r="BK45" s="154"/>
      <c r="BL45" s="62"/>
      <c r="BM45" s="62"/>
      <c r="BN45" s="62"/>
      <c r="BO45" s="39"/>
      <c r="BS45" s="48"/>
    </row>
    <row r="46" spans="1:71" ht="78.75">
      <c r="A46" s="40" t="s">
        <v>134</v>
      </c>
      <c r="B46" s="52" t="s">
        <v>46</v>
      </c>
      <c r="C46" s="52" t="s">
        <v>1</v>
      </c>
      <c r="D46" s="52" t="s">
        <v>336</v>
      </c>
      <c r="E46" s="52">
        <v>4</v>
      </c>
      <c r="F46" s="52">
        <v>56.44</v>
      </c>
      <c r="G46" s="52">
        <v>8</v>
      </c>
      <c r="H46" s="54">
        <f t="shared" si="44"/>
        <v>4.5152000000000001</v>
      </c>
      <c r="I46" s="52"/>
      <c r="J46" s="52">
        <f t="shared" si="45"/>
        <v>0</v>
      </c>
      <c r="K46" s="52"/>
      <c r="L46" s="52">
        <f t="shared" si="46"/>
        <v>0</v>
      </c>
      <c r="M46" s="52"/>
      <c r="N46" s="52">
        <v>25</v>
      </c>
      <c r="O46" s="52">
        <f t="shared" si="47"/>
        <v>14.11</v>
      </c>
      <c r="P46" s="52"/>
      <c r="Q46" s="52"/>
      <c r="R46" s="52">
        <v>40</v>
      </c>
      <c r="S46" s="52">
        <f t="shared" si="48"/>
        <v>30.02608</v>
      </c>
      <c r="T46" s="52">
        <v>30</v>
      </c>
      <c r="U46" s="52">
        <f t="shared" si="49"/>
        <v>31.527384000000001</v>
      </c>
      <c r="V46" s="52">
        <v>30</v>
      </c>
      <c r="W46" s="52">
        <f t="shared" si="50"/>
        <v>31.527384000000001</v>
      </c>
      <c r="X46" s="106">
        <f t="shared" si="51"/>
        <v>168.14604800000004</v>
      </c>
      <c r="Y46" s="106">
        <f t="shared" si="0"/>
        <v>1.5228426395939085</v>
      </c>
      <c r="Z46" s="106">
        <f t="shared" si="14"/>
        <v>10.088762880000003</v>
      </c>
      <c r="AA46" s="106">
        <f t="shared" si="15"/>
        <v>11.770223360000003</v>
      </c>
      <c r="AB46" s="106">
        <f t="shared" si="16"/>
        <v>191.52787687959392</v>
      </c>
      <c r="AC46" s="106">
        <f t="shared" si="34"/>
        <v>57.841418817637361</v>
      </c>
      <c r="AD46" s="106">
        <f t="shared" si="1"/>
        <v>18.769731934200205</v>
      </c>
      <c r="AE46" s="106">
        <f t="shared" si="2"/>
        <v>9.7037598821046274</v>
      </c>
      <c r="AF46" s="106" t="s">
        <v>99</v>
      </c>
      <c r="AG46" s="129">
        <v>26.58</v>
      </c>
      <c r="AH46" s="106">
        <v>17.2</v>
      </c>
      <c r="AI46" s="131">
        <v>22.359999999999996</v>
      </c>
      <c r="AJ46" s="130">
        <v>23.563999999999997</v>
      </c>
      <c r="AK46" s="131">
        <v>24.939999999999994</v>
      </c>
      <c r="AL46" s="106">
        <f t="shared" si="52"/>
        <v>23.205666666666662</v>
      </c>
      <c r="AM46" s="106">
        <f t="shared" si="41"/>
        <v>141.86552259999996</v>
      </c>
      <c r="AN46" s="106"/>
      <c r="AO46" s="106"/>
      <c r="AP46" s="106"/>
      <c r="AQ46" s="106">
        <f t="shared" si="53"/>
        <v>0</v>
      </c>
      <c r="AR46" s="106">
        <f t="shared" si="54"/>
        <v>141.86552259999996</v>
      </c>
      <c r="AS46" s="106" t="s">
        <v>189</v>
      </c>
      <c r="AT46" s="106">
        <v>50.1</v>
      </c>
      <c r="AU46" s="106">
        <v>2.64</v>
      </c>
      <c r="AV46" s="106">
        <f t="shared" si="43"/>
        <v>7.0593308808000002</v>
      </c>
      <c r="AW46" s="106">
        <v>33000</v>
      </c>
      <c r="AX46" s="106">
        <v>23</v>
      </c>
      <c r="AY46" s="106" t="s">
        <v>206</v>
      </c>
      <c r="AZ46" s="106">
        <v>2279.66</v>
      </c>
      <c r="BA46" s="106">
        <v>4</v>
      </c>
      <c r="BB46" s="106">
        <f t="shared" si="42"/>
        <v>6.3554157575757566</v>
      </c>
      <c r="BC46" s="106">
        <v>48.62</v>
      </c>
      <c r="BD46" s="106">
        <v>17.510000000000002</v>
      </c>
      <c r="BE46" s="106"/>
      <c r="BF46" s="106">
        <v>5.19</v>
      </c>
      <c r="BG46" s="106"/>
      <c r="BH46" s="149">
        <f t="shared" si="20"/>
        <v>494.73929686980722</v>
      </c>
      <c r="BI46" s="106">
        <f t="shared" si="5"/>
        <v>38.305575375918785</v>
      </c>
      <c r="BJ46" s="149">
        <f t="shared" si="55"/>
        <v>542.74863212783066</v>
      </c>
      <c r="BK46" s="154"/>
      <c r="BL46" s="62"/>
      <c r="BM46" s="62"/>
      <c r="BN46" s="62"/>
      <c r="BO46" s="39"/>
      <c r="BS46" s="48"/>
    </row>
    <row r="47" spans="1:71" ht="63">
      <c r="A47" s="120">
        <v>34</v>
      </c>
      <c r="B47" s="52" t="s">
        <v>261</v>
      </c>
      <c r="C47" s="52" t="s">
        <v>2</v>
      </c>
      <c r="D47" s="52" t="s">
        <v>336</v>
      </c>
      <c r="E47" s="52">
        <v>4</v>
      </c>
      <c r="F47" s="52">
        <v>56.44</v>
      </c>
      <c r="G47" s="52">
        <v>12</v>
      </c>
      <c r="H47" s="54">
        <f>F47*G47/100</f>
        <v>6.7728000000000002</v>
      </c>
      <c r="I47" s="52"/>
      <c r="J47" s="52">
        <f>F47*I47/100</f>
        <v>0</v>
      </c>
      <c r="K47" s="52"/>
      <c r="L47" s="52">
        <f>F47*K47/100</f>
        <v>0</v>
      </c>
      <c r="M47" s="52">
        <v>0</v>
      </c>
      <c r="N47" s="52">
        <v>25</v>
      </c>
      <c r="O47" s="52">
        <f>F47*N47/100</f>
        <v>14.11</v>
      </c>
      <c r="P47" s="52"/>
      <c r="Q47" s="52"/>
      <c r="R47" s="52">
        <v>40</v>
      </c>
      <c r="S47" s="52">
        <f>(F47+H47+J47+L47+M47+O47+Q47)*R47/100</f>
        <v>30.929120000000001</v>
      </c>
      <c r="T47" s="52">
        <v>30</v>
      </c>
      <c r="U47" s="52">
        <f>(F47+H47+J47+L47+M47+O47+Q47+S47)*30/100</f>
        <v>32.475576000000004</v>
      </c>
      <c r="V47" s="52">
        <v>30</v>
      </c>
      <c r="W47" s="52">
        <f>U47</f>
        <v>32.475576000000004</v>
      </c>
      <c r="X47" s="106">
        <f>F47+H47+J47+L47+M47+O47+Q47+S47+U47+W47</f>
        <v>173.20307200000002</v>
      </c>
      <c r="Y47" s="106">
        <f t="shared" ref="Y47:Y75" si="56">3000/1970</f>
        <v>1.5228426395939085</v>
      </c>
      <c r="Z47" s="106">
        <f>X47*0.06</f>
        <v>10.39218432</v>
      </c>
      <c r="AA47" s="106">
        <f>X47*0.07</f>
        <v>12.124215040000003</v>
      </c>
      <c r="AB47" s="106">
        <f>X47+Y47+Z47+AA47</f>
        <v>197.24231399959393</v>
      </c>
      <c r="AC47" s="106">
        <f t="shared" si="34"/>
        <v>59.567178827877363</v>
      </c>
      <c r="AD47" s="106">
        <f t="shared" si="1"/>
        <v>19.329746771960206</v>
      </c>
      <c r="AE47" s="106">
        <f t="shared" si="2"/>
        <v>9.9932818387894287</v>
      </c>
      <c r="AF47" s="106" t="s">
        <v>99</v>
      </c>
      <c r="AG47" s="129">
        <v>26.58</v>
      </c>
      <c r="AH47" s="106">
        <v>33</v>
      </c>
      <c r="AI47" s="130">
        <v>42.9</v>
      </c>
      <c r="AJ47" s="130">
        <v>45.21</v>
      </c>
      <c r="AK47" s="130">
        <v>47.849999999999994</v>
      </c>
      <c r="AL47" s="106">
        <f>(AI47*7+AJ47*2+AK47*3)/12</f>
        <v>44.522500000000001</v>
      </c>
      <c r="AM47" s="106">
        <f>AG47*AL47/100*23</f>
        <v>272.1838515</v>
      </c>
      <c r="AN47" s="106" t="s">
        <v>184</v>
      </c>
      <c r="AO47" s="106">
        <v>8</v>
      </c>
      <c r="AP47" s="106">
        <v>0.1</v>
      </c>
      <c r="AQ47" s="106">
        <f>AG47*AO47*AP47</f>
        <v>21.263999999999999</v>
      </c>
      <c r="AR47" s="106">
        <f>AM47+AQ47</f>
        <v>293.44785150000001</v>
      </c>
      <c r="AS47" s="106" t="s">
        <v>189</v>
      </c>
      <c r="AT47" s="106">
        <v>50.1</v>
      </c>
      <c r="AU47" s="106">
        <v>2.64</v>
      </c>
      <c r="AV47" s="106">
        <f>AL47/100*23*AU47/100*AT47</f>
        <v>13.544065062</v>
      </c>
      <c r="AW47" s="106">
        <v>50000</v>
      </c>
      <c r="AX47" s="106">
        <v>23</v>
      </c>
      <c r="AY47" s="106" t="s">
        <v>197</v>
      </c>
      <c r="AZ47" s="106">
        <v>5788.14</v>
      </c>
      <c r="BA47" s="106">
        <v>6</v>
      </c>
      <c r="BB47" s="106">
        <f>AZ47*BA47/AW47*AX47</f>
        <v>15.975266400000002</v>
      </c>
      <c r="BC47" s="106">
        <v>48.62</v>
      </c>
      <c r="BD47" s="106">
        <v>17.510000000000002</v>
      </c>
      <c r="BE47" s="106"/>
      <c r="BF47" s="106">
        <v>5.19</v>
      </c>
      <c r="BG47" s="106"/>
      <c r="BH47" s="149">
        <f>AB47+AC47+AD47+AR47+AV47+BB47+BC47+BD47+BE47+BF47</f>
        <v>670.42642256143154</v>
      </c>
      <c r="BI47" s="106">
        <f t="shared" si="5"/>
        <v>39.448462799918786</v>
      </c>
      <c r="BJ47" s="149">
        <f>BH47+AE47+BI47</f>
        <v>719.86816720013985</v>
      </c>
      <c r="BK47" s="154">
        <f>BH47-AD47</f>
        <v>651.09667578947131</v>
      </c>
      <c r="BL47" s="62"/>
      <c r="BM47" s="62"/>
      <c r="BN47" s="62"/>
      <c r="BO47" s="39"/>
      <c r="BS47" s="48"/>
    </row>
    <row r="48" spans="1:71" ht="47.25">
      <c r="A48" s="120">
        <v>35</v>
      </c>
      <c r="B48" s="52" t="s">
        <v>262</v>
      </c>
      <c r="C48" s="52" t="s">
        <v>48</v>
      </c>
      <c r="D48" s="52" t="s">
        <v>336</v>
      </c>
      <c r="E48" s="52">
        <v>4</v>
      </c>
      <c r="F48" s="52">
        <v>56.44</v>
      </c>
      <c r="G48" s="52">
        <v>12</v>
      </c>
      <c r="H48" s="54">
        <f>F48*G48/100</f>
        <v>6.7728000000000002</v>
      </c>
      <c r="I48" s="52"/>
      <c r="J48" s="52">
        <f>F48*I48/100</f>
        <v>0</v>
      </c>
      <c r="K48" s="52"/>
      <c r="L48" s="52">
        <f>F48*K48/100</f>
        <v>0</v>
      </c>
      <c r="M48" s="52">
        <v>1.65</v>
      </c>
      <c r="N48" s="52">
        <v>25</v>
      </c>
      <c r="O48" s="52">
        <f>F48*N48/100</f>
        <v>14.11</v>
      </c>
      <c r="P48" s="52"/>
      <c r="Q48" s="52"/>
      <c r="R48" s="52">
        <v>40</v>
      </c>
      <c r="S48" s="52">
        <f>(F48+H48+J48+L48+M48+O48+Q48)*R48/100</f>
        <v>31.589120000000001</v>
      </c>
      <c r="T48" s="52">
        <v>30</v>
      </c>
      <c r="U48" s="52">
        <f>(F48+H48+J48+L48+M48+O48+Q48+S48)*30/100</f>
        <v>33.168576000000002</v>
      </c>
      <c r="V48" s="52">
        <v>30</v>
      </c>
      <c r="W48" s="52">
        <f>U48</f>
        <v>33.168576000000002</v>
      </c>
      <c r="X48" s="106">
        <f>F48+H48+J48+L48+M48+O48+Q48+S48+U48+W48</f>
        <v>176.89907200000002</v>
      </c>
      <c r="Y48" s="106">
        <f t="shared" si="56"/>
        <v>1.5228426395939085</v>
      </c>
      <c r="Z48" s="106">
        <f>X48*0.06</f>
        <v>10.61394432</v>
      </c>
      <c r="AA48" s="106">
        <f>X48*0.07</f>
        <v>12.382935040000003</v>
      </c>
      <c r="AB48" s="106">
        <f>X48+Y48+Z48+AA48</f>
        <v>201.41879399959393</v>
      </c>
      <c r="AC48" s="106">
        <f t="shared" si="34"/>
        <v>60.828475787877366</v>
      </c>
      <c r="AD48" s="106">
        <f t="shared" si="1"/>
        <v>19.739041811960206</v>
      </c>
      <c r="AE48" s="106">
        <f t="shared" si="2"/>
        <v>10.204883197989428</v>
      </c>
      <c r="AF48" s="106" t="s">
        <v>99</v>
      </c>
      <c r="AG48" s="129">
        <v>26.58</v>
      </c>
      <c r="AH48" s="106">
        <v>33</v>
      </c>
      <c r="AI48" s="130">
        <v>42.9</v>
      </c>
      <c r="AJ48" s="130">
        <v>45.21</v>
      </c>
      <c r="AK48" s="130">
        <v>47.849999999999994</v>
      </c>
      <c r="AL48" s="106">
        <f>(AI48*7+AJ48*2+AK48*3)/12</f>
        <v>44.522500000000001</v>
      </c>
      <c r="AM48" s="106">
        <f>AG48*AL48/100*23</f>
        <v>272.1838515</v>
      </c>
      <c r="AN48" s="106" t="s">
        <v>184</v>
      </c>
      <c r="AO48" s="106">
        <v>8</v>
      </c>
      <c r="AP48" s="106">
        <v>0.1</v>
      </c>
      <c r="AQ48" s="106">
        <f>AG48*AO48*AP48</f>
        <v>21.263999999999999</v>
      </c>
      <c r="AR48" s="106">
        <f>AM48+AQ48</f>
        <v>293.44785150000001</v>
      </c>
      <c r="AS48" s="106" t="s">
        <v>189</v>
      </c>
      <c r="AT48" s="106">
        <v>50.1</v>
      </c>
      <c r="AU48" s="106">
        <v>2.64</v>
      </c>
      <c r="AV48" s="106">
        <f>AL48/100*23*AU48/100*AT48</f>
        <v>13.544065062</v>
      </c>
      <c r="AW48" s="106">
        <v>50000</v>
      </c>
      <c r="AX48" s="106">
        <v>23</v>
      </c>
      <c r="AY48" s="106" t="s">
        <v>197</v>
      </c>
      <c r="AZ48" s="106">
        <v>5788.14</v>
      </c>
      <c r="BA48" s="106">
        <v>6</v>
      </c>
      <c r="BB48" s="106">
        <f>AZ48*BA48/AW48*AX48</f>
        <v>15.975266400000002</v>
      </c>
      <c r="BC48" s="106">
        <v>48.62</v>
      </c>
      <c r="BD48" s="106">
        <v>17.510000000000002</v>
      </c>
      <c r="BE48" s="106"/>
      <c r="BF48" s="106">
        <v>5.19</v>
      </c>
      <c r="BG48" s="106"/>
      <c r="BH48" s="149">
        <f>AB48+AC48+AD48+AR48+AV48+BB48+BC48+BD48+BE48+BF48</f>
        <v>676.27349456143156</v>
      </c>
      <c r="BI48" s="106">
        <f t="shared" si="5"/>
        <v>40.283758799918786</v>
      </c>
      <c r="BJ48" s="149">
        <f>BH48+AE48+BI48</f>
        <v>726.76213655933975</v>
      </c>
      <c r="BK48" s="154">
        <f>BH48-AD48</f>
        <v>656.53445274947137</v>
      </c>
      <c r="BL48" s="62"/>
      <c r="BM48" s="62"/>
      <c r="BN48" s="62"/>
      <c r="BO48" s="39"/>
      <c r="BS48" s="48"/>
    </row>
    <row r="49" spans="1:71" ht="78.75">
      <c r="A49" s="40" t="s">
        <v>135</v>
      </c>
      <c r="B49" s="52" t="s">
        <v>263</v>
      </c>
      <c r="C49" s="52" t="s">
        <v>49</v>
      </c>
      <c r="D49" s="52" t="s">
        <v>337</v>
      </c>
      <c r="E49" s="52">
        <v>4</v>
      </c>
      <c r="F49" s="52">
        <v>56.44</v>
      </c>
      <c r="G49" s="52">
        <v>12</v>
      </c>
      <c r="H49" s="54">
        <f>F49*G49/100</f>
        <v>6.7728000000000002</v>
      </c>
      <c r="I49" s="52"/>
      <c r="J49" s="52">
        <f>F49*I49/100</f>
        <v>0</v>
      </c>
      <c r="K49" s="52">
        <v>40</v>
      </c>
      <c r="L49" s="52">
        <f>F49*K49/100</f>
        <v>22.576000000000001</v>
      </c>
      <c r="M49" s="52">
        <v>1.65</v>
      </c>
      <c r="N49" s="52">
        <v>25</v>
      </c>
      <c r="O49" s="52">
        <f>F49*N49/100</f>
        <v>14.11</v>
      </c>
      <c r="P49" s="52"/>
      <c r="Q49" s="52"/>
      <c r="R49" s="52">
        <v>40</v>
      </c>
      <c r="S49" s="52">
        <f>(F49+H49+J49+L49+M49+O49+Q49)*R49/100</f>
        <v>40.619520000000009</v>
      </c>
      <c r="T49" s="52">
        <v>30</v>
      </c>
      <c r="U49" s="52">
        <f>(F49+H49+J49+L49+M49+O49+Q49+S49)*30/100</f>
        <v>42.650496000000004</v>
      </c>
      <c r="V49" s="52">
        <v>30</v>
      </c>
      <c r="W49" s="52">
        <f>U49</f>
        <v>42.650496000000004</v>
      </c>
      <c r="X49" s="106">
        <f>F49+H49+J49+L49+M49+O49+Q49+S49+U49+W49</f>
        <v>227.46931200000003</v>
      </c>
      <c r="Y49" s="106">
        <f t="shared" si="56"/>
        <v>1.5228426395939085</v>
      </c>
      <c r="Z49" s="106">
        <f>X49*0.06</f>
        <v>13.648158720000001</v>
      </c>
      <c r="AA49" s="106">
        <f>X49*0.07</f>
        <v>15.922851840000003</v>
      </c>
      <c r="AB49" s="106">
        <f>X49+Y49+Z49+AA49</f>
        <v>258.56316519959393</v>
      </c>
      <c r="AC49" s="106">
        <f t="shared" si="34"/>
        <v>78.086075890277357</v>
      </c>
      <c r="AD49" s="106">
        <f t="shared" si="1"/>
        <v>25.339190189560206</v>
      </c>
      <c r="AE49" s="106">
        <f t="shared" si="2"/>
        <v>13.100102764837429</v>
      </c>
      <c r="AF49" s="106" t="s">
        <v>99</v>
      </c>
      <c r="AG49" s="129">
        <v>26.58</v>
      </c>
      <c r="AH49" s="106">
        <v>35</v>
      </c>
      <c r="AI49" s="130">
        <v>42</v>
      </c>
      <c r="AJ49" s="130">
        <v>44.45</v>
      </c>
      <c r="AK49" s="130">
        <v>47.25</v>
      </c>
      <c r="AL49" s="106">
        <f>(AI49*7+AJ49*2+AK49*3)/12</f>
        <v>43.720833333333331</v>
      </c>
      <c r="AM49" s="106">
        <f>AG49*AL49/100*23</f>
        <v>267.28294249999993</v>
      </c>
      <c r="AN49" s="106" t="s">
        <v>184</v>
      </c>
      <c r="AO49" s="106">
        <v>8</v>
      </c>
      <c r="AP49" s="106">
        <v>0.1</v>
      </c>
      <c r="AQ49" s="106">
        <f>AG49*AO49*AP49</f>
        <v>21.263999999999999</v>
      </c>
      <c r="AR49" s="106">
        <f>AM49+AQ49</f>
        <v>288.54694249999994</v>
      </c>
      <c r="AS49" s="106" t="s">
        <v>189</v>
      </c>
      <c r="AT49" s="106">
        <v>50.1</v>
      </c>
      <c r="AU49" s="106">
        <v>2</v>
      </c>
      <c r="AV49" s="106">
        <f>AL49/100*23*AU49/100*AT49</f>
        <v>10.07590325</v>
      </c>
      <c r="AW49" s="106">
        <v>50000</v>
      </c>
      <c r="AX49" s="106">
        <v>23</v>
      </c>
      <c r="AY49" s="106" t="s">
        <v>197</v>
      </c>
      <c r="AZ49" s="106">
        <v>5788.14</v>
      </c>
      <c r="BA49" s="106">
        <v>6</v>
      </c>
      <c r="BB49" s="106">
        <f>AZ49*BA49/AW49*AX49</f>
        <v>15.975266400000002</v>
      </c>
      <c r="BC49" s="106">
        <v>48.62</v>
      </c>
      <c r="BD49" s="106">
        <v>17.510000000000002</v>
      </c>
      <c r="BE49" s="106">
        <v>44.59</v>
      </c>
      <c r="BF49" s="106">
        <v>5.19</v>
      </c>
      <c r="BG49" s="106"/>
      <c r="BH49" s="149">
        <f>AB49+AC49+AD49+AR49+AV49+BB49+BC49+BD49+BE49+BF49</f>
        <v>792.49654342943154</v>
      </c>
      <c r="BI49" s="106">
        <f t="shared" si="5"/>
        <v>51.712633039918785</v>
      </c>
      <c r="BJ49" s="149">
        <f>BH49+AE49+BI49</f>
        <v>857.30927923418767</v>
      </c>
      <c r="BK49" s="154">
        <f>BH49-AD49</f>
        <v>767.15735323987133</v>
      </c>
      <c r="BL49" s="62"/>
      <c r="BM49" s="62"/>
      <c r="BN49" s="62"/>
      <c r="BO49" s="39"/>
      <c r="BS49" s="48"/>
    </row>
    <row r="50" spans="1:71" ht="47.25">
      <c r="A50" s="41" t="s">
        <v>136</v>
      </c>
      <c r="B50" s="52" t="s">
        <v>264</v>
      </c>
      <c r="C50" s="52" t="s">
        <v>50</v>
      </c>
      <c r="D50" s="52" t="s">
        <v>336</v>
      </c>
      <c r="E50" s="52">
        <v>4</v>
      </c>
      <c r="F50" s="52">
        <v>56.44</v>
      </c>
      <c r="G50" s="52">
        <v>12</v>
      </c>
      <c r="H50" s="54">
        <f>F50*G50/100</f>
        <v>6.7728000000000002</v>
      </c>
      <c r="I50" s="52"/>
      <c r="J50" s="52">
        <f>F50*I50/100</f>
        <v>0</v>
      </c>
      <c r="K50" s="52"/>
      <c r="L50" s="52">
        <f>F50*K50/100</f>
        <v>0</v>
      </c>
      <c r="M50" s="52"/>
      <c r="N50" s="52">
        <v>25</v>
      </c>
      <c r="O50" s="52">
        <f>F50*N50/100</f>
        <v>14.11</v>
      </c>
      <c r="P50" s="52"/>
      <c r="Q50" s="52"/>
      <c r="R50" s="52">
        <v>40</v>
      </c>
      <c r="S50" s="52">
        <f>(F50+H50+J50+L50+M50+O50+Q50)*R50/100</f>
        <v>30.929120000000001</v>
      </c>
      <c r="T50" s="52">
        <v>30</v>
      </c>
      <c r="U50" s="52">
        <f>(F50+H50+J50+L50+M50+O50+Q50+S50)*30/100</f>
        <v>32.475576000000004</v>
      </c>
      <c r="V50" s="52">
        <v>30</v>
      </c>
      <c r="W50" s="52">
        <f>U50</f>
        <v>32.475576000000004</v>
      </c>
      <c r="X50" s="106">
        <f>F50+H50+J50+L50+M50+O50+Q50+S50+U50+W50</f>
        <v>173.20307200000002</v>
      </c>
      <c r="Y50" s="106">
        <f t="shared" si="56"/>
        <v>1.5228426395939085</v>
      </c>
      <c r="Z50" s="106">
        <f>X50*0.06</f>
        <v>10.39218432</v>
      </c>
      <c r="AA50" s="106">
        <f>X50*0.07</f>
        <v>12.124215040000003</v>
      </c>
      <c r="AB50" s="106">
        <f>X50+Y50+Z50+AA50</f>
        <v>197.24231399959393</v>
      </c>
      <c r="AC50" s="106">
        <f t="shared" si="34"/>
        <v>59.567178827877363</v>
      </c>
      <c r="AD50" s="106">
        <f t="shared" si="1"/>
        <v>19.329746771960206</v>
      </c>
      <c r="AE50" s="106">
        <f t="shared" si="2"/>
        <v>9.9932818387894287</v>
      </c>
      <c r="AF50" s="106" t="s">
        <v>99</v>
      </c>
      <c r="AG50" s="129">
        <v>26.58</v>
      </c>
      <c r="AH50" s="106">
        <v>39.5</v>
      </c>
      <c r="AI50" s="130">
        <v>51.35</v>
      </c>
      <c r="AJ50" s="130">
        <v>54.115000000000002</v>
      </c>
      <c r="AK50" s="130">
        <v>57.274999999999999</v>
      </c>
      <c r="AL50" s="106">
        <f>(AI50*7+AJ50*2+AK50*3)/12</f>
        <v>53.292083333333331</v>
      </c>
      <c r="AM50" s="106">
        <f>AG50*AL50/100*23</f>
        <v>325.79582224999996</v>
      </c>
      <c r="AN50" s="106"/>
      <c r="AO50" s="106"/>
      <c r="AP50" s="106"/>
      <c r="AQ50" s="106">
        <f>AG50*AO50*AP50</f>
        <v>0</v>
      </c>
      <c r="AR50" s="106">
        <f>AM50+AQ50</f>
        <v>325.79582224999996</v>
      </c>
      <c r="AS50" s="106" t="s">
        <v>189</v>
      </c>
      <c r="AT50" s="106">
        <v>50.1</v>
      </c>
      <c r="AU50" s="106">
        <v>2</v>
      </c>
      <c r="AV50" s="106">
        <f>AL50/100*23*AU50/100*AT50</f>
        <v>12.281693525</v>
      </c>
      <c r="AW50" s="106">
        <v>50000</v>
      </c>
      <c r="AX50" s="106">
        <v>23</v>
      </c>
      <c r="AY50" s="106" t="s">
        <v>197</v>
      </c>
      <c r="AZ50" s="106">
        <v>5788.14</v>
      </c>
      <c r="BA50" s="106">
        <v>6</v>
      </c>
      <c r="BB50" s="106">
        <f>AZ50*BA50/AW50*AX50</f>
        <v>15.975266400000002</v>
      </c>
      <c r="BC50" s="106">
        <v>48.62</v>
      </c>
      <c r="BD50" s="106">
        <v>17.510000000000002</v>
      </c>
      <c r="BE50" s="106">
        <v>66.02</v>
      </c>
      <c r="BF50" s="106">
        <v>5.19</v>
      </c>
      <c r="BG50" s="106"/>
      <c r="BH50" s="149">
        <f>AB50+AC50+AD50+AR50+AV50+BB50+BC50+BD50+BE50+BF50</f>
        <v>767.53202177443154</v>
      </c>
      <c r="BI50" s="106">
        <f t="shared" si="5"/>
        <v>39.448462799918786</v>
      </c>
      <c r="BJ50" s="149">
        <f>BH50+AE50+BI50</f>
        <v>816.97376641313986</v>
      </c>
      <c r="BK50" s="154">
        <f>BH50-AD50</f>
        <v>748.20227500247131</v>
      </c>
      <c r="BL50" s="62"/>
      <c r="BM50" s="62"/>
      <c r="BN50" s="62"/>
      <c r="BO50" s="39"/>
      <c r="BS50" s="48"/>
    </row>
    <row r="51" spans="1:71" ht="63">
      <c r="A51" s="40" t="s">
        <v>137</v>
      </c>
      <c r="B51" s="52" t="s">
        <v>265</v>
      </c>
      <c r="C51" s="52" t="s">
        <v>51</v>
      </c>
      <c r="D51" s="52" t="s">
        <v>336</v>
      </c>
      <c r="E51" s="52">
        <v>5</v>
      </c>
      <c r="F51" s="52">
        <v>63.5</v>
      </c>
      <c r="G51" s="52">
        <v>12</v>
      </c>
      <c r="H51" s="54">
        <f t="shared" ref="H51:H78" si="57">F51*G51/100</f>
        <v>7.62</v>
      </c>
      <c r="I51" s="52"/>
      <c r="J51" s="52">
        <f t="shared" ref="J51:J78" si="58">F51*I51/100</f>
        <v>0</v>
      </c>
      <c r="K51" s="52"/>
      <c r="L51" s="52">
        <f t="shared" ref="L51:L78" si="59">F51*K51/100</f>
        <v>0</v>
      </c>
      <c r="M51" s="52"/>
      <c r="N51" s="52">
        <v>25</v>
      </c>
      <c r="O51" s="52">
        <f t="shared" ref="O51:O78" si="60">F51*N51/100</f>
        <v>15.875</v>
      </c>
      <c r="P51" s="52"/>
      <c r="Q51" s="52"/>
      <c r="R51" s="52">
        <v>40</v>
      </c>
      <c r="S51" s="52">
        <f t="shared" ref="S51:S78" si="61">(F51+H51+J51+L51+M51+O51+Q51)*R51/100</f>
        <v>34.798000000000002</v>
      </c>
      <c r="T51" s="52">
        <v>30</v>
      </c>
      <c r="U51" s="52">
        <f t="shared" ref="U51:U78" si="62">(F51+H51+J51+L51+M51+O51+Q51+S51)*30/100</f>
        <v>36.5379</v>
      </c>
      <c r="V51" s="52">
        <v>30</v>
      </c>
      <c r="W51" s="52">
        <f t="shared" ref="W51:W78" si="63">U51</f>
        <v>36.5379</v>
      </c>
      <c r="X51" s="106">
        <f t="shared" ref="X51:X78" si="64">F51+H51+J51+L51+M51+O51+Q51+S51+U51+W51</f>
        <v>194.86880000000002</v>
      </c>
      <c r="Y51" s="106">
        <f t="shared" si="56"/>
        <v>1.5228426395939085</v>
      </c>
      <c r="Z51" s="106">
        <f t="shared" ref="Z51:Z70" si="65">X51*0.06</f>
        <v>11.692128</v>
      </c>
      <c r="AA51" s="106">
        <f t="shared" ref="AA51:AA78" si="66">X51*0.07</f>
        <v>13.640816000000003</v>
      </c>
      <c r="AB51" s="106">
        <f t="shared" ref="AB51:AB78" si="67">X51+Y51+Z51+AA51</f>
        <v>221.72458663959392</v>
      </c>
      <c r="AC51" s="106">
        <f t="shared" si="34"/>
        <v>66.96082516515736</v>
      </c>
      <c r="AD51" s="106">
        <f t="shared" si="1"/>
        <v>21.729009490680205</v>
      </c>
      <c r="AE51" s="106">
        <f t="shared" si="2"/>
        <v>11.233676182095028</v>
      </c>
      <c r="AF51" s="106" t="s">
        <v>97</v>
      </c>
      <c r="AG51" s="129">
        <v>32.83</v>
      </c>
      <c r="AH51" s="106">
        <v>36.5</v>
      </c>
      <c r="AI51" s="130">
        <v>47.45</v>
      </c>
      <c r="AJ51" s="130">
        <v>50.005000000000003</v>
      </c>
      <c r="AK51" s="130">
        <v>52.924999999999997</v>
      </c>
      <c r="AL51" s="106">
        <f t="shared" ref="AL51:AL78" si="68">(AI51*7+AJ51*2+AK51*3)/12</f>
        <v>49.244583333333331</v>
      </c>
      <c r="AM51" s="106">
        <f t="shared" ref="AM51:AM57" si="69">AG51*AL51/100*23</f>
        <v>371.84092429166662</v>
      </c>
      <c r="AN51" s="106"/>
      <c r="AO51" s="106"/>
      <c r="AP51" s="106"/>
      <c r="AQ51" s="106">
        <f t="shared" ref="AQ51:AQ70" si="70">AG51*AO51*AP51</f>
        <v>0</v>
      </c>
      <c r="AR51" s="106">
        <f t="shared" ref="AR51:AR78" si="71">AM51+AQ51</f>
        <v>371.84092429166662</v>
      </c>
      <c r="AS51" s="106" t="s">
        <v>187</v>
      </c>
      <c r="AT51" s="106">
        <v>52.25</v>
      </c>
      <c r="AU51" s="106">
        <v>3.36</v>
      </c>
      <c r="AV51" s="106">
        <f t="shared" ref="AV51:AV58" si="72">AL51/100*23*AU51/100*AT51</f>
        <v>19.884371814999998</v>
      </c>
      <c r="AW51" s="106">
        <v>50000</v>
      </c>
      <c r="AX51" s="106">
        <v>23</v>
      </c>
      <c r="AY51" s="106" t="s">
        <v>197</v>
      </c>
      <c r="AZ51" s="106">
        <v>5788.14</v>
      </c>
      <c r="BA51" s="106">
        <v>10</v>
      </c>
      <c r="BB51" s="106">
        <f t="shared" ref="BB51:BB57" si="73">AZ51*BA51/AW51*AX51</f>
        <v>26.625444000000002</v>
      </c>
      <c r="BC51" s="106">
        <v>48.62</v>
      </c>
      <c r="BD51" s="106">
        <v>17.510000000000002</v>
      </c>
      <c r="BE51" s="106"/>
      <c r="BF51" s="106">
        <v>5.19</v>
      </c>
      <c r="BG51" s="106"/>
      <c r="BH51" s="149">
        <f t="shared" ref="BH51:BH72" si="74">AB51+AC51+AD51+AR51+AV51+BB51+BC51+BD51+BE51+BF51</f>
        <v>800.08516140209827</v>
      </c>
      <c r="BI51" s="106">
        <f t="shared" si="5"/>
        <v>44.344917327918786</v>
      </c>
      <c r="BJ51" s="149">
        <f t="shared" si="55"/>
        <v>855.66375491211204</v>
      </c>
      <c r="BK51" s="154">
        <f t="shared" ref="BK51:BK61" si="75">BH51-AD51</f>
        <v>778.35615191141801</v>
      </c>
      <c r="BL51" s="62"/>
      <c r="BM51" s="62"/>
      <c r="BN51" s="62"/>
      <c r="BO51" s="39"/>
      <c r="BS51" s="48"/>
    </row>
    <row r="52" spans="1:71" ht="63">
      <c r="A52" s="41" t="s">
        <v>138</v>
      </c>
      <c r="B52" s="52" t="s">
        <v>301</v>
      </c>
      <c r="C52" s="52" t="s">
        <v>300</v>
      </c>
      <c r="D52" s="52" t="s">
        <v>336</v>
      </c>
      <c r="E52" s="52">
        <v>5</v>
      </c>
      <c r="F52" s="52">
        <v>63.5</v>
      </c>
      <c r="G52" s="52">
        <v>12</v>
      </c>
      <c r="H52" s="54">
        <f t="shared" si="57"/>
        <v>7.62</v>
      </c>
      <c r="I52" s="52"/>
      <c r="J52" s="52">
        <f t="shared" si="58"/>
        <v>0</v>
      </c>
      <c r="K52" s="52"/>
      <c r="L52" s="52">
        <f t="shared" si="59"/>
        <v>0</v>
      </c>
      <c r="M52" s="52"/>
      <c r="N52" s="52">
        <v>25</v>
      </c>
      <c r="O52" s="52">
        <f t="shared" si="60"/>
        <v>15.875</v>
      </c>
      <c r="P52" s="52"/>
      <c r="Q52" s="52"/>
      <c r="R52" s="52">
        <v>40</v>
      </c>
      <c r="S52" s="52">
        <f t="shared" si="61"/>
        <v>34.798000000000002</v>
      </c>
      <c r="T52" s="52">
        <v>30</v>
      </c>
      <c r="U52" s="52">
        <f t="shared" si="62"/>
        <v>36.5379</v>
      </c>
      <c r="V52" s="52">
        <v>30</v>
      </c>
      <c r="W52" s="52">
        <f t="shared" si="63"/>
        <v>36.5379</v>
      </c>
      <c r="X52" s="106">
        <f t="shared" si="64"/>
        <v>194.86880000000002</v>
      </c>
      <c r="Y52" s="106">
        <f t="shared" si="56"/>
        <v>1.5228426395939085</v>
      </c>
      <c r="Z52" s="106">
        <f t="shared" si="65"/>
        <v>11.692128</v>
      </c>
      <c r="AA52" s="106">
        <f t="shared" si="66"/>
        <v>13.640816000000003</v>
      </c>
      <c r="AB52" s="106">
        <f t="shared" si="67"/>
        <v>221.72458663959392</v>
      </c>
      <c r="AC52" s="106">
        <f t="shared" si="34"/>
        <v>66.96082516515736</v>
      </c>
      <c r="AD52" s="106">
        <f t="shared" si="1"/>
        <v>21.729009490680205</v>
      </c>
      <c r="AE52" s="106">
        <f t="shared" si="2"/>
        <v>11.233676182095028</v>
      </c>
      <c r="AF52" s="106" t="s">
        <v>97</v>
      </c>
      <c r="AG52" s="129">
        <v>32.83</v>
      </c>
      <c r="AH52" s="106">
        <v>36.5</v>
      </c>
      <c r="AI52" s="130">
        <v>47.45</v>
      </c>
      <c r="AJ52" s="130">
        <v>50.005000000000003</v>
      </c>
      <c r="AK52" s="130">
        <v>52.924999999999997</v>
      </c>
      <c r="AL52" s="106">
        <f t="shared" si="68"/>
        <v>49.244583333333331</v>
      </c>
      <c r="AM52" s="106">
        <f>AG52*AL52/100*23</f>
        <v>371.84092429166662</v>
      </c>
      <c r="AN52" s="106"/>
      <c r="AO52" s="106"/>
      <c r="AP52" s="106"/>
      <c r="AQ52" s="106">
        <f t="shared" si="70"/>
        <v>0</v>
      </c>
      <c r="AR52" s="106">
        <f t="shared" si="71"/>
        <v>371.84092429166662</v>
      </c>
      <c r="AS52" s="106" t="s">
        <v>187</v>
      </c>
      <c r="AT52" s="106">
        <v>52.25</v>
      </c>
      <c r="AU52" s="106">
        <v>3.36</v>
      </c>
      <c r="AV52" s="106">
        <f>AL52/100*23*AU52/100*AT52</f>
        <v>19.884371814999998</v>
      </c>
      <c r="AW52" s="106">
        <v>50000</v>
      </c>
      <c r="AX52" s="106">
        <v>23</v>
      </c>
      <c r="AY52" s="106" t="s">
        <v>197</v>
      </c>
      <c r="AZ52" s="106">
        <v>5788.14</v>
      </c>
      <c r="BA52" s="106">
        <v>10</v>
      </c>
      <c r="BB52" s="106">
        <f>AZ52*BA52/AW52*AX52</f>
        <v>26.625444000000002</v>
      </c>
      <c r="BC52" s="106">
        <v>48.62</v>
      </c>
      <c r="BD52" s="106">
        <v>17.510000000000002</v>
      </c>
      <c r="BE52" s="106"/>
      <c r="BF52" s="106">
        <v>5.19</v>
      </c>
      <c r="BG52" s="106"/>
      <c r="BH52" s="149">
        <f t="shared" si="74"/>
        <v>800.08516140209827</v>
      </c>
      <c r="BI52" s="106">
        <f t="shared" si="5"/>
        <v>44.344917327918786</v>
      </c>
      <c r="BJ52" s="149">
        <f t="shared" si="55"/>
        <v>855.66375491211204</v>
      </c>
      <c r="BK52" s="154">
        <f t="shared" si="75"/>
        <v>778.35615191141801</v>
      </c>
      <c r="BL52" s="62"/>
      <c r="BM52" s="62"/>
      <c r="BN52" s="62"/>
      <c r="BO52" s="39"/>
      <c r="BS52" s="48"/>
    </row>
    <row r="53" spans="1:71" ht="63">
      <c r="A53" s="40" t="s">
        <v>139</v>
      </c>
      <c r="B53" s="52" t="s">
        <v>266</v>
      </c>
      <c r="C53" s="52" t="s">
        <v>52</v>
      </c>
      <c r="D53" s="52" t="s">
        <v>336</v>
      </c>
      <c r="E53" s="52">
        <v>5</v>
      </c>
      <c r="F53" s="52">
        <v>63.5</v>
      </c>
      <c r="G53" s="52">
        <v>8</v>
      </c>
      <c r="H53" s="54">
        <f t="shared" si="57"/>
        <v>5.08</v>
      </c>
      <c r="I53" s="52"/>
      <c r="J53" s="52">
        <f t="shared" si="58"/>
        <v>0</v>
      </c>
      <c r="K53" s="52"/>
      <c r="L53" s="52">
        <f t="shared" si="59"/>
        <v>0</v>
      </c>
      <c r="M53" s="52"/>
      <c r="N53" s="52">
        <v>25</v>
      </c>
      <c r="O53" s="52">
        <f t="shared" si="60"/>
        <v>15.875</v>
      </c>
      <c r="P53" s="52"/>
      <c r="Q53" s="52"/>
      <c r="R53" s="52">
        <v>40</v>
      </c>
      <c r="S53" s="52">
        <f t="shared" si="61"/>
        <v>33.781999999999996</v>
      </c>
      <c r="T53" s="52">
        <v>30</v>
      </c>
      <c r="U53" s="52">
        <f t="shared" si="62"/>
        <v>35.4711</v>
      </c>
      <c r="V53" s="52">
        <v>30</v>
      </c>
      <c r="W53" s="52">
        <f t="shared" si="63"/>
        <v>35.4711</v>
      </c>
      <c r="X53" s="106">
        <f t="shared" si="64"/>
        <v>189.17920000000001</v>
      </c>
      <c r="Y53" s="106">
        <f t="shared" si="56"/>
        <v>1.5228426395939085</v>
      </c>
      <c r="Z53" s="106">
        <f t="shared" si="65"/>
        <v>11.350752</v>
      </c>
      <c r="AA53" s="106">
        <f t="shared" si="66"/>
        <v>13.242544000000002</v>
      </c>
      <c r="AB53" s="106">
        <f t="shared" si="67"/>
        <v>215.29533863959392</v>
      </c>
      <c r="AC53" s="106">
        <f t="shared" si="34"/>
        <v>65.019192269157358</v>
      </c>
      <c r="AD53" s="106">
        <f t="shared" si="1"/>
        <v>21.098943186680206</v>
      </c>
      <c r="AE53" s="106">
        <f t="shared" si="2"/>
        <v>10.907938332175029</v>
      </c>
      <c r="AF53" s="106" t="s">
        <v>97</v>
      </c>
      <c r="AG53" s="129">
        <v>32.83</v>
      </c>
      <c r="AH53" s="106">
        <v>36.5</v>
      </c>
      <c r="AI53" s="130">
        <v>47.45</v>
      </c>
      <c r="AJ53" s="130">
        <v>50.005000000000003</v>
      </c>
      <c r="AK53" s="130">
        <v>52.924999999999997</v>
      </c>
      <c r="AL53" s="106">
        <f t="shared" si="68"/>
        <v>49.244583333333331</v>
      </c>
      <c r="AM53" s="106">
        <f t="shared" si="69"/>
        <v>371.84092429166662</v>
      </c>
      <c r="AN53" s="106"/>
      <c r="AO53" s="106"/>
      <c r="AP53" s="106"/>
      <c r="AQ53" s="106">
        <f t="shared" si="70"/>
        <v>0</v>
      </c>
      <c r="AR53" s="106">
        <f t="shared" si="71"/>
        <v>371.84092429166662</v>
      </c>
      <c r="AS53" s="106" t="s">
        <v>187</v>
      </c>
      <c r="AT53" s="106">
        <v>52.25</v>
      </c>
      <c r="AU53" s="106">
        <v>3.36</v>
      </c>
      <c r="AV53" s="106">
        <f t="shared" si="72"/>
        <v>19.884371814999998</v>
      </c>
      <c r="AW53" s="106">
        <v>50000</v>
      </c>
      <c r="AX53" s="106">
        <v>23</v>
      </c>
      <c r="AY53" s="106" t="s">
        <v>197</v>
      </c>
      <c r="AZ53" s="106">
        <v>5788.14</v>
      </c>
      <c r="BA53" s="106">
        <v>10</v>
      </c>
      <c r="BB53" s="106">
        <f t="shared" si="73"/>
        <v>26.625444000000002</v>
      </c>
      <c r="BC53" s="106">
        <v>48.62</v>
      </c>
      <c r="BD53" s="106">
        <v>17.510000000000002</v>
      </c>
      <c r="BE53" s="106"/>
      <c r="BF53" s="106">
        <v>5.19</v>
      </c>
      <c r="BG53" s="106"/>
      <c r="BH53" s="149">
        <f t="shared" si="74"/>
        <v>791.08421420209822</v>
      </c>
      <c r="BI53" s="106">
        <f t="shared" si="5"/>
        <v>43.059067727918787</v>
      </c>
      <c r="BJ53" s="149">
        <f t="shared" si="55"/>
        <v>845.05122026219203</v>
      </c>
      <c r="BK53" s="154">
        <f t="shared" si="75"/>
        <v>769.98527101541799</v>
      </c>
      <c r="BL53" s="62"/>
      <c r="BM53" s="62"/>
      <c r="BN53" s="62"/>
      <c r="BO53" s="39"/>
      <c r="BS53" s="48"/>
    </row>
    <row r="54" spans="1:71" ht="63">
      <c r="A54" s="41" t="s">
        <v>140</v>
      </c>
      <c r="B54" s="52" t="s">
        <v>267</v>
      </c>
      <c r="C54" s="52" t="s">
        <v>53</v>
      </c>
      <c r="D54" s="52" t="s">
        <v>336</v>
      </c>
      <c r="E54" s="52">
        <v>5</v>
      </c>
      <c r="F54" s="52">
        <v>63.5</v>
      </c>
      <c r="G54" s="52">
        <v>12</v>
      </c>
      <c r="H54" s="54">
        <f t="shared" si="57"/>
        <v>7.62</v>
      </c>
      <c r="I54" s="52"/>
      <c r="J54" s="52">
        <f t="shared" si="58"/>
        <v>0</v>
      </c>
      <c r="K54" s="52"/>
      <c r="L54" s="52">
        <f t="shared" si="59"/>
        <v>0</v>
      </c>
      <c r="M54" s="52"/>
      <c r="N54" s="52">
        <v>25</v>
      </c>
      <c r="O54" s="52">
        <f t="shared" si="60"/>
        <v>15.875</v>
      </c>
      <c r="P54" s="52"/>
      <c r="Q54" s="52"/>
      <c r="R54" s="52">
        <v>40</v>
      </c>
      <c r="S54" s="52">
        <f t="shared" si="61"/>
        <v>34.798000000000002</v>
      </c>
      <c r="T54" s="52">
        <v>30</v>
      </c>
      <c r="U54" s="52">
        <f t="shared" si="62"/>
        <v>36.5379</v>
      </c>
      <c r="V54" s="52">
        <v>30</v>
      </c>
      <c r="W54" s="52">
        <f t="shared" si="63"/>
        <v>36.5379</v>
      </c>
      <c r="X54" s="106">
        <f t="shared" si="64"/>
        <v>194.86880000000002</v>
      </c>
      <c r="Y54" s="106">
        <f t="shared" si="56"/>
        <v>1.5228426395939085</v>
      </c>
      <c r="Z54" s="106">
        <f t="shared" si="65"/>
        <v>11.692128</v>
      </c>
      <c r="AA54" s="106">
        <f t="shared" si="66"/>
        <v>13.640816000000003</v>
      </c>
      <c r="AB54" s="106">
        <f t="shared" si="67"/>
        <v>221.72458663959392</v>
      </c>
      <c r="AC54" s="106">
        <f t="shared" si="34"/>
        <v>66.96082516515736</v>
      </c>
      <c r="AD54" s="106">
        <f t="shared" si="1"/>
        <v>21.729009490680205</v>
      </c>
      <c r="AE54" s="106">
        <f t="shared" si="2"/>
        <v>11.233676182095028</v>
      </c>
      <c r="AF54" s="106" t="s">
        <v>97</v>
      </c>
      <c r="AG54" s="129">
        <v>32.83</v>
      </c>
      <c r="AH54" s="106">
        <v>36.5</v>
      </c>
      <c r="AI54" s="130">
        <v>47.45</v>
      </c>
      <c r="AJ54" s="130">
        <v>50.005000000000003</v>
      </c>
      <c r="AK54" s="130">
        <v>52.924999999999997</v>
      </c>
      <c r="AL54" s="106">
        <f t="shared" si="68"/>
        <v>49.244583333333331</v>
      </c>
      <c r="AM54" s="106">
        <f t="shared" si="69"/>
        <v>371.84092429166662</v>
      </c>
      <c r="AN54" s="106"/>
      <c r="AO54" s="106"/>
      <c r="AP54" s="106"/>
      <c r="AQ54" s="106">
        <f t="shared" si="70"/>
        <v>0</v>
      </c>
      <c r="AR54" s="106">
        <f t="shared" si="71"/>
        <v>371.84092429166662</v>
      </c>
      <c r="AS54" s="106" t="s">
        <v>187</v>
      </c>
      <c r="AT54" s="106">
        <v>52.25</v>
      </c>
      <c r="AU54" s="106">
        <v>3.36</v>
      </c>
      <c r="AV54" s="106">
        <f t="shared" si="72"/>
        <v>19.884371814999998</v>
      </c>
      <c r="AW54" s="106">
        <v>50000</v>
      </c>
      <c r="AX54" s="106">
        <v>23</v>
      </c>
      <c r="AY54" s="106" t="s">
        <v>197</v>
      </c>
      <c r="AZ54" s="106">
        <v>5788.14</v>
      </c>
      <c r="BA54" s="106">
        <v>10</v>
      </c>
      <c r="BB54" s="106">
        <f t="shared" si="73"/>
        <v>26.625444000000002</v>
      </c>
      <c r="BC54" s="106">
        <v>48.62</v>
      </c>
      <c r="BD54" s="106">
        <v>17.510000000000002</v>
      </c>
      <c r="BE54" s="106"/>
      <c r="BF54" s="106">
        <v>5.19</v>
      </c>
      <c r="BG54" s="106"/>
      <c r="BH54" s="149">
        <f t="shared" si="74"/>
        <v>800.08516140209827</v>
      </c>
      <c r="BI54" s="106">
        <f t="shared" si="5"/>
        <v>44.344917327918786</v>
      </c>
      <c r="BJ54" s="149">
        <f t="shared" si="55"/>
        <v>855.66375491211204</v>
      </c>
      <c r="BK54" s="154">
        <f t="shared" si="75"/>
        <v>778.35615191141801</v>
      </c>
      <c r="BL54" s="62"/>
      <c r="BM54" s="62"/>
      <c r="BN54" s="62"/>
      <c r="BO54" s="39"/>
      <c r="BS54" s="48"/>
    </row>
    <row r="55" spans="1:71" ht="63">
      <c r="A55" s="40" t="s">
        <v>141</v>
      </c>
      <c r="B55" s="52" t="s">
        <v>265</v>
      </c>
      <c r="C55" s="52" t="s">
        <v>54</v>
      </c>
      <c r="D55" s="52" t="s">
        <v>336</v>
      </c>
      <c r="E55" s="52">
        <v>5</v>
      </c>
      <c r="F55" s="52">
        <v>63.5</v>
      </c>
      <c r="G55" s="52">
        <v>8</v>
      </c>
      <c r="H55" s="54">
        <f t="shared" si="57"/>
        <v>5.08</v>
      </c>
      <c r="I55" s="52"/>
      <c r="J55" s="52">
        <f t="shared" si="58"/>
        <v>0</v>
      </c>
      <c r="K55" s="52"/>
      <c r="L55" s="52">
        <f t="shared" si="59"/>
        <v>0</v>
      </c>
      <c r="M55" s="52"/>
      <c r="N55" s="52">
        <v>25</v>
      </c>
      <c r="O55" s="52">
        <f t="shared" si="60"/>
        <v>15.875</v>
      </c>
      <c r="P55" s="52"/>
      <c r="Q55" s="52"/>
      <c r="R55" s="52">
        <v>40</v>
      </c>
      <c r="S55" s="52">
        <f t="shared" si="61"/>
        <v>33.781999999999996</v>
      </c>
      <c r="T55" s="52">
        <v>30</v>
      </c>
      <c r="U55" s="52">
        <f t="shared" si="62"/>
        <v>35.4711</v>
      </c>
      <c r="V55" s="52">
        <v>30</v>
      </c>
      <c r="W55" s="52">
        <f t="shared" si="63"/>
        <v>35.4711</v>
      </c>
      <c r="X55" s="106">
        <f t="shared" si="64"/>
        <v>189.17920000000001</v>
      </c>
      <c r="Y55" s="106">
        <f t="shared" si="56"/>
        <v>1.5228426395939085</v>
      </c>
      <c r="Z55" s="106">
        <f t="shared" si="65"/>
        <v>11.350752</v>
      </c>
      <c r="AA55" s="106">
        <f t="shared" si="66"/>
        <v>13.242544000000002</v>
      </c>
      <c r="AB55" s="106">
        <f t="shared" si="67"/>
        <v>215.29533863959392</v>
      </c>
      <c r="AC55" s="106">
        <f t="shared" si="34"/>
        <v>65.019192269157358</v>
      </c>
      <c r="AD55" s="106">
        <f t="shared" si="1"/>
        <v>21.098943186680206</v>
      </c>
      <c r="AE55" s="106">
        <f t="shared" si="2"/>
        <v>10.907938332175029</v>
      </c>
      <c r="AF55" s="106" t="s">
        <v>97</v>
      </c>
      <c r="AG55" s="129">
        <v>32.83</v>
      </c>
      <c r="AH55" s="106">
        <v>36.5</v>
      </c>
      <c r="AI55" s="130">
        <v>47.45</v>
      </c>
      <c r="AJ55" s="130">
        <v>50.005000000000003</v>
      </c>
      <c r="AK55" s="130">
        <v>52.924999999999997</v>
      </c>
      <c r="AL55" s="106">
        <f t="shared" si="68"/>
        <v>49.244583333333331</v>
      </c>
      <c r="AM55" s="106">
        <f t="shared" si="69"/>
        <v>371.84092429166662</v>
      </c>
      <c r="AN55" s="106"/>
      <c r="AO55" s="106"/>
      <c r="AP55" s="106"/>
      <c r="AQ55" s="106">
        <f t="shared" si="70"/>
        <v>0</v>
      </c>
      <c r="AR55" s="106">
        <f t="shared" si="71"/>
        <v>371.84092429166662</v>
      </c>
      <c r="AS55" s="106" t="s">
        <v>187</v>
      </c>
      <c r="AT55" s="106">
        <v>52.25</v>
      </c>
      <c r="AU55" s="106">
        <v>3.36</v>
      </c>
      <c r="AV55" s="106">
        <f t="shared" si="72"/>
        <v>19.884371814999998</v>
      </c>
      <c r="AW55" s="106">
        <v>50000</v>
      </c>
      <c r="AX55" s="106">
        <v>23</v>
      </c>
      <c r="AY55" s="106" t="s">
        <v>197</v>
      </c>
      <c r="AZ55" s="106">
        <v>5788.14</v>
      </c>
      <c r="BA55" s="106">
        <v>10</v>
      </c>
      <c r="BB55" s="106">
        <f t="shared" si="73"/>
        <v>26.625444000000002</v>
      </c>
      <c r="BC55" s="106">
        <v>48.62</v>
      </c>
      <c r="BD55" s="106">
        <v>17.510000000000002</v>
      </c>
      <c r="BE55" s="106"/>
      <c r="BF55" s="106">
        <v>5.19</v>
      </c>
      <c r="BG55" s="106"/>
      <c r="BH55" s="149">
        <f t="shared" si="74"/>
        <v>791.08421420209822</v>
      </c>
      <c r="BI55" s="106">
        <f t="shared" si="5"/>
        <v>43.059067727918787</v>
      </c>
      <c r="BJ55" s="149">
        <f t="shared" si="55"/>
        <v>845.05122026219203</v>
      </c>
      <c r="BK55" s="154">
        <f t="shared" si="75"/>
        <v>769.98527101541799</v>
      </c>
      <c r="BL55" s="62"/>
      <c r="BM55" s="62"/>
      <c r="BN55" s="62"/>
      <c r="BO55" s="39"/>
      <c r="BS55" s="48"/>
    </row>
    <row r="56" spans="1:71" ht="63">
      <c r="A56" s="40" t="s">
        <v>142</v>
      </c>
      <c r="B56" s="52" t="s">
        <v>268</v>
      </c>
      <c r="C56" s="52" t="s">
        <v>55</v>
      </c>
      <c r="D56" s="52" t="s">
        <v>336</v>
      </c>
      <c r="E56" s="52">
        <v>5</v>
      </c>
      <c r="F56" s="52">
        <v>63.5</v>
      </c>
      <c r="G56" s="52">
        <v>12</v>
      </c>
      <c r="H56" s="54">
        <f t="shared" si="57"/>
        <v>7.62</v>
      </c>
      <c r="I56" s="52"/>
      <c r="J56" s="52">
        <f t="shared" si="58"/>
        <v>0</v>
      </c>
      <c r="K56" s="52"/>
      <c r="L56" s="52">
        <f t="shared" si="59"/>
        <v>0</v>
      </c>
      <c r="M56" s="52"/>
      <c r="N56" s="52">
        <v>25</v>
      </c>
      <c r="O56" s="52">
        <f t="shared" si="60"/>
        <v>15.875</v>
      </c>
      <c r="P56" s="52"/>
      <c r="Q56" s="52"/>
      <c r="R56" s="52">
        <v>40</v>
      </c>
      <c r="S56" s="52">
        <f t="shared" si="61"/>
        <v>34.798000000000002</v>
      </c>
      <c r="T56" s="52">
        <v>30</v>
      </c>
      <c r="U56" s="52">
        <f t="shared" si="62"/>
        <v>36.5379</v>
      </c>
      <c r="V56" s="52">
        <v>30</v>
      </c>
      <c r="W56" s="52">
        <f t="shared" si="63"/>
        <v>36.5379</v>
      </c>
      <c r="X56" s="106">
        <f t="shared" si="64"/>
        <v>194.86880000000002</v>
      </c>
      <c r="Y56" s="106">
        <f t="shared" si="56"/>
        <v>1.5228426395939085</v>
      </c>
      <c r="Z56" s="106">
        <f t="shared" si="65"/>
        <v>11.692128</v>
      </c>
      <c r="AA56" s="106">
        <f t="shared" si="66"/>
        <v>13.640816000000003</v>
      </c>
      <c r="AB56" s="106">
        <f t="shared" si="67"/>
        <v>221.72458663959392</v>
      </c>
      <c r="AC56" s="106">
        <f t="shared" si="34"/>
        <v>66.96082516515736</v>
      </c>
      <c r="AD56" s="106">
        <f t="shared" si="1"/>
        <v>21.729009490680205</v>
      </c>
      <c r="AE56" s="106">
        <f t="shared" si="2"/>
        <v>11.233676182095028</v>
      </c>
      <c r="AF56" s="106" t="s">
        <v>97</v>
      </c>
      <c r="AG56" s="129">
        <v>32.83</v>
      </c>
      <c r="AH56" s="106">
        <v>32.200000000000003</v>
      </c>
      <c r="AI56" s="130">
        <v>41.86</v>
      </c>
      <c r="AJ56" s="130">
        <v>44.114000000000004</v>
      </c>
      <c r="AK56" s="130">
        <v>46.69</v>
      </c>
      <c r="AL56" s="106">
        <f t="shared" si="68"/>
        <v>43.443166666666663</v>
      </c>
      <c r="AM56" s="106">
        <f t="shared" si="69"/>
        <v>328.03500718333328</v>
      </c>
      <c r="AN56" s="106"/>
      <c r="AO56" s="106"/>
      <c r="AP56" s="106"/>
      <c r="AQ56" s="106">
        <f t="shared" si="70"/>
        <v>0</v>
      </c>
      <c r="AR56" s="106">
        <f t="shared" si="71"/>
        <v>328.03500718333328</v>
      </c>
      <c r="AS56" s="106" t="s">
        <v>187</v>
      </c>
      <c r="AT56" s="106">
        <v>52.25</v>
      </c>
      <c r="AU56" s="106">
        <v>3.36</v>
      </c>
      <c r="AV56" s="106">
        <f t="shared" si="72"/>
        <v>17.541829381999996</v>
      </c>
      <c r="AW56" s="106">
        <v>50000</v>
      </c>
      <c r="AX56" s="106">
        <v>23</v>
      </c>
      <c r="AY56" s="106" t="s">
        <v>195</v>
      </c>
      <c r="AZ56" s="106">
        <v>7523.72</v>
      </c>
      <c r="BA56" s="106">
        <v>10</v>
      </c>
      <c r="BB56" s="106">
        <f t="shared" si="73"/>
        <v>34.609111999999996</v>
      </c>
      <c r="BC56" s="106">
        <v>48.62</v>
      </c>
      <c r="BD56" s="106">
        <v>17.510000000000002</v>
      </c>
      <c r="BE56" s="106"/>
      <c r="BF56" s="106">
        <v>5.19</v>
      </c>
      <c r="BG56" s="106"/>
      <c r="BH56" s="149">
        <f t="shared" si="74"/>
        <v>761.92036986076471</v>
      </c>
      <c r="BI56" s="106">
        <f t="shared" si="5"/>
        <v>44.344917327918786</v>
      </c>
      <c r="BJ56" s="149">
        <f t="shared" si="55"/>
        <v>817.49896337077848</v>
      </c>
      <c r="BK56" s="154">
        <f t="shared" si="75"/>
        <v>740.19136037008445</v>
      </c>
      <c r="BL56" s="62"/>
      <c r="BM56" s="62"/>
      <c r="BN56" s="62"/>
      <c r="BO56" s="39"/>
      <c r="BS56" s="48"/>
    </row>
    <row r="57" spans="1:71" ht="63">
      <c r="A57" s="40" t="s">
        <v>143</v>
      </c>
      <c r="B57" s="52" t="s">
        <v>269</v>
      </c>
      <c r="C57" s="52" t="s">
        <v>56</v>
      </c>
      <c r="D57" s="52" t="s">
        <v>336</v>
      </c>
      <c r="E57" s="52">
        <v>5</v>
      </c>
      <c r="F57" s="52">
        <v>63.5</v>
      </c>
      <c r="G57" s="52">
        <v>12</v>
      </c>
      <c r="H57" s="54">
        <f t="shared" si="57"/>
        <v>7.62</v>
      </c>
      <c r="I57" s="52"/>
      <c r="J57" s="52">
        <f t="shared" si="58"/>
        <v>0</v>
      </c>
      <c r="K57" s="52"/>
      <c r="L57" s="52">
        <f t="shared" si="59"/>
        <v>0</v>
      </c>
      <c r="M57" s="52"/>
      <c r="N57" s="52">
        <v>25</v>
      </c>
      <c r="O57" s="52">
        <f t="shared" si="60"/>
        <v>15.875</v>
      </c>
      <c r="P57" s="52"/>
      <c r="Q57" s="52"/>
      <c r="R57" s="52">
        <v>40</v>
      </c>
      <c r="S57" s="52">
        <f t="shared" si="61"/>
        <v>34.798000000000002</v>
      </c>
      <c r="T57" s="52">
        <v>30</v>
      </c>
      <c r="U57" s="52">
        <f t="shared" si="62"/>
        <v>36.5379</v>
      </c>
      <c r="V57" s="52">
        <v>30</v>
      </c>
      <c r="W57" s="52">
        <f t="shared" si="63"/>
        <v>36.5379</v>
      </c>
      <c r="X57" s="106">
        <f t="shared" si="64"/>
        <v>194.86880000000002</v>
      </c>
      <c r="Y57" s="106">
        <f t="shared" si="56"/>
        <v>1.5228426395939085</v>
      </c>
      <c r="Z57" s="106">
        <f t="shared" si="65"/>
        <v>11.692128</v>
      </c>
      <c r="AA57" s="106">
        <f t="shared" si="66"/>
        <v>13.640816000000003</v>
      </c>
      <c r="AB57" s="106">
        <f t="shared" si="67"/>
        <v>221.72458663959392</v>
      </c>
      <c r="AC57" s="106">
        <f t="shared" si="34"/>
        <v>66.96082516515736</v>
      </c>
      <c r="AD57" s="106">
        <f t="shared" si="1"/>
        <v>21.729009490680205</v>
      </c>
      <c r="AE57" s="106">
        <f t="shared" si="2"/>
        <v>11.233676182095028</v>
      </c>
      <c r="AF57" s="106" t="s">
        <v>97</v>
      </c>
      <c r="AG57" s="129">
        <v>32.83</v>
      </c>
      <c r="AH57" s="106">
        <v>32.200000000000003</v>
      </c>
      <c r="AI57" s="130">
        <v>41.86</v>
      </c>
      <c r="AJ57" s="130">
        <v>44.114000000000004</v>
      </c>
      <c r="AK57" s="130">
        <v>46.69</v>
      </c>
      <c r="AL57" s="106">
        <f t="shared" si="68"/>
        <v>43.443166666666663</v>
      </c>
      <c r="AM57" s="106">
        <f t="shared" si="69"/>
        <v>328.03500718333328</v>
      </c>
      <c r="AN57" s="106"/>
      <c r="AO57" s="106"/>
      <c r="AP57" s="106"/>
      <c r="AQ57" s="106">
        <f t="shared" si="70"/>
        <v>0</v>
      </c>
      <c r="AR57" s="106">
        <f t="shared" si="71"/>
        <v>328.03500718333328</v>
      </c>
      <c r="AS57" s="106" t="s">
        <v>187</v>
      </c>
      <c r="AT57" s="106">
        <v>52.25</v>
      </c>
      <c r="AU57" s="106">
        <v>3.36</v>
      </c>
      <c r="AV57" s="106">
        <f t="shared" si="72"/>
        <v>17.541829381999996</v>
      </c>
      <c r="AW57" s="106">
        <v>50000</v>
      </c>
      <c r="AX57" s="106">
        <v>23</v>
      </c>
      <c r="AY57" s="106" t="s">
        <v>195</v>
      </c>
      <c r="AZ57" s="106">
        <v>7523.72</v>
      </c>
      <c r="BA57" s="106">
        <v>10</v>
      </c>
      <c r="BB57" s="106">
        <f t="shared" si="73"/>
        <v>34.609111999999996</v>
      </c>
      <c r="BC57" s="106">
        <v>48.62</v>
      </c>
      <c r="BD57" s="106">
        <v>17.510000000000002</v>
      </c>
      <c r="BE57" s="106"/>
      <c r="BF57" s="106">
        <v>5.19</v>
      </c>
      <c r="BG57" s="106"/>
      <c r="BH57" s="149">
        <f t="shared" si="74"/>
        <v>761.92036986076471</v>
      </c>
      <c r="BI57" s="106">
        <f t="shared" si="5"/>
        <v>44.344917327918786</v>
      </c>
      <c r="BJ57" s="149">
        <f t="shared" si="55"/>
        <v>817.49896337077848</v>
      </c>
      <c r="BK57" s="154">
        <f t="shared" si="75"/>
        <v>740.19136037008445</v>
      </c>
      <c r="BL57" s="62"/>
      <c r="BM57" s="62"/>
      <c r="BN57" s="62"/>
      <c r="BO57" s="39"/>
      <c r="BS57" s="48"/>
    </row>
    <row r="58" spans="1:71" ht="63">
      <c r="A58" s="40" t="s">
        <v>144</v>
      </c>
      <c r="B58" s="52" t="s">
        <v>270</v>
      </c>
      <c r="C58" s="52" t="s">
        <v>0</v>
      </c>
      <c r="D58" s="52" t="s">
        <v>336</v>
      </c>
      <c r="E58" s="52">
        <v>5</v>
      </c>
      <c r="F58" s="52">
        <v>63.5</v>
      </c>
      <c r="G58" s="52">
        <v>8</v>
      </c>
      <c r="H58" s="54">
        <f t="shared" si="57"/>
        <v>5.08</v>
      </c>
      <c r="I58" s="52"/>
      <c r="J58" s="52">
        <f t="shared" si="58"/>
        <v>0</v>
      </c>
      <c r="K58" s="52"/>
      <c r="L58" s="52">
        <f t="shared" si="59"/>
        <v>0</v>
      </c>
      <c r="M58" s="52"/>
      <c r="N58" s="52">
        <v>25</v>
      </c>
      <c r="O58" s="52">
        <f t="shared" si="60"/>
        <v>15.875</v>
      </c>
      <c r="P58" s="52"/>
      <c r="Q58" s="52"/>
      <c r="R58" s="52">
        <v>40</v>
      </c>
      <c r="S58" s="52">
        <f t="shared" si="61"/>
        <v>33.781999999999996</v>
      </c>
      <c r="T58" s="52">
        <v>30</v>
      </c>
      <c r="U58" s="52">
        <f t="shared" si="62"/>
        <v>35.4711</v>
      </c>
      <c r="V58" s="52">
        <v>30</v>
      </c>
      <c r="W58" s="52">
        <f t="shared" si="63"/>
        <v>35.4711</v>
      </c>
      <c r="X58" s="106">
        <f t="shared" si="64"/>
        <v>189.17920000000001</v>
      </c>
      <c r="Y58" s="106">
        <f t="shared" si="56"/>
        <v>1.5228426395939085</v>
      </c>
      <c r="Z58" s="106">
        <f t="shared" si="65"/>
        <v>11.350752</v>
      </c>
      <c r="AA58" s="106">
        <f t="shared" si="66"/>
        <v>13.242544000000002</v>
      </c>
      <c r="AB58" s="106">
        <f t="shared" si="67"/>
        <v>215.29533863959392</v>
      </c>
      <c r="AC58" s="106">
        <f t="shared" si="34"/>
        <v>65.019192269157358</v>
      </c>
      <c r="AD58" s="106">
        <f t="shared" si="1"/>
        <v>21.098943186680206</v>
      </c>
      <c r="AE58" s="106">
        <f t="shared" si="2"/>
        <v>10.907938332175029</v>
      </c>
      <c r="AF58" s="106" t="s">
        <v>97</v>
      </c>
      <c r="AG58" s="129">
        <v>32.83</v>
      </c>
      <c r="AH58" s="106">
        <v>31</v>
      </c>
      <c r="AI58" s="130">
        <v>40.299999999999997</v>
      </c>
      <c r="AJ58" s="130">
        <v>42.47</v>
      </c>
      <c r="AK58" s="130">
        <v>44.949999999999996</v>
      </c>
      <c r="AL58" s="106">
        <f t="shared" si="68"/>
        <v>41.824166666666663</v>
      </c>
      <c r="AM58" s="106">
        <f t="shared" ref="AM58:AM66" si="76">AG58*AL58/100*23</f>
        <v>315.81010008333328</v>
      </c>
      <c r="AN58" s="106"/>
      <c r="AO58" s="106"/>
      <c r="AP58" s="106"/>
      <c r="AQ58" s="106">
        <f t="shared" si="70"/>
        <v>0</v>
      </c>
      <c r="AR58" s="106">
        <f t="shared" si="71"/>
        <v>315.81010008333328</v>
      </c>
      <c r="AS58" s="106" t="s">
        <v>187</v>
      </c>
      <c r="AT58" s="106">
        <v>52.25</v>
      </c>
      <c r="AU58" s="106">
        <v>3.36</v>
      </c>
      <c r="AV58" s="106">
        <f t="shared" si="72"/>
        <v>16.888096609999998</v>
      </c>
      <c r="AW58" s="106">
        <v>50000</v>
      </c>
      <c r="AX58" s="106">
        <v>23</v>
      </c>
      <c r="AY58" s="106" t="s">
        <v>196</v>
      </c>
      <c r="AZ58" s="106">
        <v>5000</v>
      </c>
      <c r="BA58" s="106">
        <v>10</v>
      </c>
      <c r="BB58" s="106">
        <f t="shared" ref="BB58:BB66" si="77">AZ58*BA58/AW58*AX58</f>
        <v>23</v>
      </c>
      <c r="BC58" s="106">
        <v>48.62</v>
      </c>
      <c r="BD58" s="106">
        <v>17.510000000000002</v>
      </c>
      <c r="BE58" s="106">
        <v>1.33</v>
      </c>
      <c r="BF58" s="106">
        <v>5.19</v>
      </c>
      <c r="BG58" s="106"/>
      <c r="BH58" s="149">
        <f t="shared" si="74"/>
        <v>729.76167078876495</v>
      </c>
      <c r="BI58" s="106">
        <f t="shared" si="5"/>
        <v>43.059067727918787</v>
      </c>
      <c r="BJ58" s="149">
        <f t="shared" si="55"/>
        <v>783.72867684885875</v>
      </c>
      <c r="BK58" s="154">
        <f t="shared" si="75"/>
        <v>708.66272760208471</v>
      </c>
      <c r="BL58" s="62"/>
      <c r="BM58" s="62"/>
      <c r="BN58" s="62"/>
      <c r="BO58" s="39"/>
      <c r="BS58" s="48"/>
    </row>
    <row r="59" spans="1:71" ht="63">
      <c r="A59" s="40" t="s">
        <v>145</v>
      </c>
      <c r="B59" s="52" t="s">
        <v>265</v>
      </c>
      <c r="C59" s="52" t="s">
        <v>57</v>
      </c>
      <c r="D59" s="52" t="s">
        <v>336</v>
      </c>
      <c r="E59" s="52">
        <v>5</v>
      </c>
      <c r="F59" s="52">
        <v>63.5</v>
      </c>
      <c r="G59" s="52">
        <v>12</v>
      </c>
      <c r="H59" s="54">
        <f t="shared" si="57"/>
        <v>7.62</v>
      </c>
      <c r="I59" s="52"/>
      <c r="J59" s="52">
        <f t="shared" si="58"/>
        <v>0</v>
      </c>
      <c r="K59" s="52"/>
      <c r="L59" s="52">
        <f t="shared" si="59"/>
        <v>0</v>
      </c>
      <c r="M59" s="52"/>
      <c r="N59" s="52">
        <v>25</v>
      </c>
      <c r="O59" s="52">
        <f t="shared" si="60"/>
        <v>15.875</v>
      </c>
      <c r="P59" s="52"/>
      <c r="Q59" s="52"/>
      <c r="R59" s="52">
        <v>40</v>
      </c>
      <c r="S59" s="52">
        <f t="shared" si="61"/>
        <v>34.798000000000002</v>
      </c>
      <c r="T59" s="52">
        <v>30</v>
      </c>
      <c r="U59" s="52">
        <f t="shared" si="62"/>
        <v>36.5379</v>
      </c>
      <c r="V59" s="52">
        <v>30</v>
      </c>
      <c r="W59" s="52">
        <f t="shared" si="63"/>
        <v>36.5379</v>
      </c>
      <c r="X59" s="106">
        <f t="shared" si="64"/>
        <v>194.86880000000002</v>
      </c>
      <c r="Y59" s="106">
        <f t="shared" si="56"/>
        <v>1.5228426395939085</v>
      </c>
      <c r="Z59" s="106">
        <f t="shared" si="65"/>
        <v>11.692128</v>
      </c>
      <c r="AA59" s="106">
        <f t="shared" si="66"/>
        <v>13.640816000000003</v>
      </c>
      <c r="AB59" s="106">
        <f t="shared" si="67"/>
        <v>221.72458663959392</v>
      </c>
      <c r="AC59" s="106">
        <f t="shared" si="34"/>
        <v>66.96082516515736</v>
      </c>
      <c r="AD59" s="106">
        <f t="shared" si="1"/>
        <v>21.729009490680205</v>
      </c>
      <c r="AE59" s="106">
        <f t="shared" si="2"/>
        <v>11.233676182095028</v>
      </c>
      <c r="AF59" s="106" t="s">
        <v>97</v>
      </c>
      <c r="AG59" s="129">
        <v>32.83</v>
      </c>
      <c r="AH59" s="106">
        <v>36.5</v>
      </c>
      <c r="AI59" s="130">
        <v>47.45</v>
      </c>
      <c r="AJ59" s="130">
        <v>50.005000000000003</v>
      </c>
      <c r="AK59" s="130">
        <v>52.924999999999997</v>
      </c>
      <c r="AL59" s="106">
        <f t="shared" si="68"/>
        <v>49.244583333333331</v>
      </c>
      <c r="AM59" s="106">
        <f t="shared" si="76"/>
        <v>371.84092429166662</v>
      </c>
      <c r="AN59" s="106"/>
      <c r="AO59" s="106"/>
      <c r="AP59" s="106"/>
      <c r="AQ59" s="106">
        <f t="shared" si="70"/>
        <v>0</v>
      </c>
      <c r="AR59" s="106">
        <f t="shared" si="71"/>
        <v>371.84092429166662</v>
      </c>
      <c r="AS59" s="106" t="s">
        <v>187</v>
      </c>
      <c r="AT59" s="106">
        <v>52.25</v>
      </c>
      <c r="AU59" s="106">
        <v>3.36</v>
      </c>
      <c r="AV59" s="106">
        <f t="shared" ref="AV59:AV66" si="78">AL59/100*23*AU59/100*AT59</f>
        <v>19.884371814999998</v>
      </c>
      <c r="AW59" s="106">
        <v>50000</v>
      </c>
      <c r="AX59" s="106">
        <v>23</v>
      </c>
      <c r="AY59" s="106" t="s">
        <v>197</v>
      </c>
      <c r="AZ59" s="106">
        <v>5788.14</v>
      </c>
      <c r="BA59" s="106">
        <v>10</v>
      </c>
      <c r="BB59" s="106">
        <f t="shared" si="77"/>
        <v>26.625444000000002</v>
      </c>
      <c r="BC59" s="106">
        <v>48.62</v>
      </c>
      <c r="BD59" s="106">
        <v>17.510000000000002</v>
      </c>
      <c r="BE59" s="106"/>
      <c r="BF59" s="106">
        <v>5.19</v>
      </c>
      <c r="BG59" s="106"/>
      <c r="BH59" s="149">
        <f t="shared" si="74"/>
        <v>800.08516140209827</v>
      </c>
      <c r="BI59" s="106">
        <f t="shared" si="5"/>
        <v>44.344917327918786</v>
      </c>
      <c r="BJ59" s="149">
        <f t="shared" si="55"/>
        <v>855.66375491211204</v>
      </c>
      <c r="BK59" s="154">
        <f t="shared" si="75"/>
        <v>778.35615191141801</v>
      </c>
      <c r="BL59" s="62"/>
      <c r="BM59" s="62"/>
      <c r="BN59" s="62"/>
      <c r="BO59" s="39"/>
      <c r="BS59" s="48"/>
    </row>
    <row r="60" spans="1:71" ht="63">
      <c r="A60" s="40" t="s">
        <v>146</v>
      </c>
      <c r="B60" s="52" t="s">
        <v>271</v>
      </c>
      <c r="C60" s="52" t="s">
        <v>4</v>
      </c>
      <c r="D60" s="52" t="s">
        <v>336</v>
      </c>
      <c r="E60" s="52">
        <v>5</v>
      </c>
      <c r="F60" s="52">
        <v>63.5</v>
      </c>
      <c r="G60" s="52">
        <v>8</v>
      </c>
      <c r="H60" s="54">
        <f t="shared" si="57"/>
        <v>5.08</v>
      </c>
      <c r="I60" s="52"/>
      <c r="J60" s="52">
        <f t="shared" si="58"/>
        <v>0</v>
      </c>
      <c r="K60" s="52"/>
      <c r="L60" s="52">
        <f t="shared" si="59"/>
        <v>0</v>
      </c>
      <c r="M60" s="52"/>
      <c r="N60" s="52">
        <v>25</v>
      </c>
      <c r="O60" s="52">
        <f t="shared" si="60"/>
        <v>15.875</v>
      </c>
      <c r="P60" s="52"/>
      <c r="Q60" s="52"/>
      <c r="R60" s="52">
        <v>40</v>
      </c>
      <c r="S60" s="52">
        <f t="shared" si="61"/>
        <v>33.781999999999996</v>
      </c>
      <c r="T60" s="52">
        <v>30</v>
      </c>
      <c r="U60" s="52">
        <f t="shared" si="62"/>
        <v>35.4711</v>
      </c>
      <c r="V60" s="52">
        <v>30</v>
      </c>
      <c r="W60" s="52">
        <f t="shared" si="63"/>
        <v>35.4711</v>
      </c>
      <c r="X60" s="106">
        <f t="shared" si="64"/>
        <v>189.17920000000001</v>
      </c>
      <c r="Y60" s="106">
        <f t="shared" si="56"/>
        <v>1.5228426395939085</v>
      </c>
      <c r="Z60" s="106">
        <f t="shared" si="65"/>
        <v>11.350752</v>
      </c>
      <c r="AA60" s="106">
        <f t="shared" si="66"/>
        <v>13.242544000000002</v>
      </c>
      <c r="AB60" s="106">
        <f t="shared" si="67"/>
        <v>215.29533863959392</v>
      </c>
      <c r="AC60" s="106">
        <f t="shared" si="34"/>
        <v>65.019192269157358</v>
      </c>
      <c r="AD60" s="106">
        <f t="shared" si="1"/>
        <v>21.098943186680206</v>
      </c>
      <c r="AE60" s="106">
        <f t="shared" si="2"/>
        <v>10.907938332175029</v>
      </c>
      <c r="AF60" s="106" t="s">
        <v>97</v>
      </c>
      <c r="AG60" s="129">
        <v>32.83</v>
      </c>
      <c r="AH60" s="106">
        <v>31.37</v>
      </c>
      <c r="AI60" s="130">
        <v>40.781000000000006</v>
      </c>
      <c r="AJ60" s="130">
        <v>42.976900000000008</v>
      </c>
      <c r="AK60" s="130">
        <v>45.486499999999999</v>
      </c>
      <c r="AL60" s="106">
        <f t="shared" si="68"/>
        <v>42.323358333333339</v>
      </c>
      <c r="AM60" s="106">
        <f t="shared" si="76"/>
        <v>319.57944643916665</v>
      </c>
      <c r="AN60" s="106"/>
      <c r="AO60" s="106"/>
      <c r="AP60" s="106"/>
      <c r="AQ60" s="106">
        <f t="shared" si="70"/>
        <v>0</v>
      </c>
      <c r="AR60" s="106">
        <f t="shared" si="71"/>
        <v>319.57944643916665</v>
      </c>
      <c r="AS60" s="106" t="s">
        <v>187</v>
      </c>
      <c r="AT60" s="106">
        <v>52.25</v>
      </c>
      <c r="AU60" s="106">
        <v>3.36</v>
      </c>
      <c r="AV60" s="106">
        <f t="shared" si="78"/>
        <v>17.089664214700001</v>
      </c>
      <c r="AW60" s="106">
        <v>50000</v>
      </c>
      <c r="AX60" s="106">
        <v>23</v>
      </c>
      <c r="AY60" s="106" t="s">
        <v>197</v>
      </c>
      <c r="AZ60" s="106">
        <v>5788.14</v>
      </c>
      <c r="BA60" s="106">
        <v>10</v>
      </c>
      <c r="BB60" s="106">
        <f t="shared" si="77"/>
        <v>26.625444000000002</v>
      </c>
      <c r="BC60" s="106">
        <v>48.62</v>
      </c>
      <c r="BD60" s="106">
        <v>17.510000000000002</v>
      </c>
      <c r="BE60" s="106"/>
      <c r="BF60" s="106">
        <v>5.19</v>
      </c>
      <c r="BG60" s="106"/>
      <c r="BH60" s="149">
        <f t="shared" si="74"/>
        <v>736.02802874929819</v>
      </c>
      <c r="BI60" s="106">
        <f t="shared" si="5"/>
        <v>43.059067727918787</v>
      </c>
      <c r="BJ60" s="149">
        <f t="shared" si="55"/>
        <v>789.995034809392</v>
      </c>
      <c r="BK60" s="154">
        <f t="shared" si="75"/>
        <v>714.92908556261796</v>
      </c>
      <c r="BL60" s="62"/>
      <c r="BM60" s="62"/>
      <c r="BN60" s="62"/>
      <c r="BO60" s="39"/>
      <c r="BS60" s="48"/>
    </row>
    <row r="61" spans="1:71" ht="63">
      <c r="A61" s="40" t="s">
        <v>147</v>
      </c>
      <c r="B61" s="52" t="s">
        <v>272</v>
      </c>
      <c r="C61" s="52" t="s">
        <v>58</v>
      </c>
      <c r="D61" s="52" t="s">
        <v>336</v>
      </c>
      <c r="E61" s="52">
        <v>5</v>
      </c>
      <c r="F61" s="52">
        <v>63.5</v>
      </c>
      <c r="G61" s="52">
        <v>12</v>
      </c>
      <c r="H61" s="54">
        <f t="shared" si="57"/>
        <v>7.62</v>
      </c>
      <c r="I61" s="52"/>
      <c r="J61" s="52">
        <f t="shared" si="58"/>
        <v>0</v>
      </c>
      <c r="K61" s="52"/>
      <c r="L61" s="52">
        <f t="shared" si="59"/>
        <v>0</v>
      </c>
      <c r="M61" s="52">
        <v>1.85</v>
      </c>
      <c r="N61" s="52">
        <v>25</v>
      </c>
      <c r="O61" s="52">
        <f t="shared" si="60"/>
        <v>15.875</v>
      </c>
      <c r="P61" s="52"/>
      <c r="Q61" s="52"/>
      <c r="R61" s="52">
        <v>40</v>
      </c>
      <c r="S61" s="52">
        <f t="shared" si="61"/>
        <v>35.538000000000004</v>
      </c>
      <c r="T61" s="52">
        <v>30</v>
      </c>
      <c r="U61" s="52">
        <f t="shared" si="62"/>
        <v>37.314900000000002</v>
      </c>
      <c r="V61" s="52">
        <v>30</v>
      </c>
      <c r="W61" s="52">
        <f t="shared" si="63"/>
        <v>37.314900000000002</v>
      </c>
      <c r="X61" s="106">
        <f t="shared" si="64"/>
        <v>199.0128</v>
      </c>
      <c r="Y61" s="106">
        <f t="shared" si="56"/>
        <v>1.5228426395939085</v>
      </c>
      <c r="Z61" s="106">
        <f t="shared" si="65"/>
        <v>11.940768</v>
      </c>
      <c r="AA61" s="106">
        <f t="shared" si="66"/>
        <v>13.930896000000001</v>
      </c>
      <c r="AB61" s="106">
        <f t="shared" si="67"/>
        <v>226.40730663959388</v>
      </c>
      <c r="AC61" s="106">
        <f t="shared" si="34"/>
        <v>68.375006605157353</v>
      </c>
      <c r="AD61" s="106">
        <f t="shared" si="1"/>
        <v>22.187916050680201</v>
      </c>
      <c r="AE61" s="106">
        <f t="shared" si="2"/>
        <v>11.470926190895026</v>
      </c>
      <c r="AF61" s="106" t="s">
        <v>97</v>
      </c>
      <c r="AG61" s="129">
        <v>32.83</v>
      </c>
      <c r="AH61" s="106">
        <v>27</v>
      </c>
      <c r="AI61" s="130">
        <v>35.1</v>
      </c>
      <c r="AJ61" s="130">
        <v>36.99</v>
      </c>
      <c r="AK61" s="130">
        <v>39.15</v>
      </c>
      <c r="AL61" s="106">
        <f t="shared" si="68"/>
        <v>36.427500000000002</v>
      </c>
      <c r="AM61" s="106">
        <f t="shared" si="76"/>
        <v>275.06040975000002</v>
      </c>
      <c r="AN61" s="106"/>
      <c r="AO61" s="106"/>
      <c r="AP61" s="106"/>
      <c r="AQ61" s="106">
        <f t="shared" si="70"/>
        <v>0</v>
      </c>
      <c r="AR61" s="106">
        <f t="shared" si="71"/>
        <v>275.06040975000002</v>
      </c>
      <c r="AS61" s="106" t="s">
        <v>187</v>
      </c>
      <c r="AT61" s="106">
        <v>52.25</v>
      </c>
      <c r="AU61" s="106">
        <v>3.36</v>
      </c>
      <c r="AV61" s="106">
        <f t="shared" si="78"/>
        <v>14.708987369999997</v>
      </c>
      <c r="AW61" s="106">
        <v>50000</v>
      </c>
      <c r="AX61" s="106">
        <v>23</v>
      </c>
      <c r="AY61" s="106" t="s">
        <v>197</v>
      </c>
      <c r="AZ61" s="106">
        <v>5788.14</v>
      </c>
      <c r="BA61" s="106">
        <v>10</v>
      </c>
      <c r="BB61" s="106">
        <f t="shared" si="77"/>
        <v>26.625444000000002</v>
      </c>
      <c r="BC61" s="106">
        <v>48.62</v>
      </c>
      <c r="BD61" s="106">
        <v>17.510000000000002</v>
      </c>
      <c r="BE61" s="106"/>
      <c r="BF61" s="106">
        <v>5.19</v>
      </c>
      <c r="BG61" s="106"/>
      <c r="BH61" s="149">
        <f t="shared" si="74"/>
        <v>704.68507041543148</v>
      </c>
      <c r="BI61" s="106">
        <f t="shared" si="5"/>
        <v>45.281461327918777</v>
      </c>
      <c r="BJ61" s="149">
        <f t="shared" si="55"/>
        <v>761.43745793424534</v>
      </c>
      <c r="BK61" s="154">
        <f t="shared" si="75"/>
        <v>682.49715436475128</v>
      </c>
      <c r="BL61" s="62"/>
      <c r="BM61" s="62"/>
      <c r="BN61" s="62"/>
      <c r="BO61" s="39"/>
      <c r="BS61" s="48"/>
    </row>
    <row r="62" spans="1:71" ht="63">
      <c r="A62" s="120">
        <v>49</v>
      </c>
      <c r="B62" s="52" t="s">
        <v>273</v>
      </c>
      <c r="C62" s="52" t="s">
        <v>59</v>
      </c>
      <c r="D62" s="52" t="s">
        <v>336</v>
      </c>
      <c r="E62" s="52">
        <v>5</v>
      </c>
      <c r="F62" s="52">
        <v>63.5</v>
      </c>
      <c r="G62" s="56">
        <v>12</v>
      </c>
      <c r="H62" s="54">
        <f t="shared" si="57"/>
        <v>7.62</v>
      </c>
      <c r="I62" s="52">
        <v>10</v>
      </c>
      <c r="J62" s="52">
        <f t="shared" si="58"/>
        <v>6.35</v>
      </c>
      <c r="K62" s="52">
        <v>40</v>
      </c>
      <c r="L62" s="52">
        <f t="shared" si="59"/>
        <v>25.4</v>
      </c>
      <c r="M62" s="52">
        <v>1.85</v>
      </c>
      <c r="N62" s="52">
        <v>25</v>
      </c>
      <c r="O62" s="52">
        <f t="shared" si="60"/>
        <v>15.875</v>
      </c>
      <c r="P62" s="52"/>
      <c r="Q62" s="52"/>
      <c r="R62" s="52">
        <v>40</v>
      </c>
      <c r="S62" s="52">
        <f t="shared" si="61"/>
        <v>48.238</v>
      </c>
      <c r="T62" s="52">
        <v>30</v>
      </c>
      <c r="U62" s="52">
        <f t="shared" si="62"/>
        <v>50.649899999999995</v>
      </c>
      <c r="V62" s="52">
        <v>30</v>
      </c>
      <c r="W62" s="52">
        <f t="shared" si="63"/>
        <v>50.649899999999995</v>
      </c>
      <c r="X62" s="106">
        <f t="shared" si="64"/>
        <v>270.13279999999997</v>
      </c>
      <c r="Y62" s="106">
        <f t="shared" si="56"/>
        <v>1.5228426395939085</v>
      </c>
      <c r="Z62" s="106">
        <f t="shared" si="65"/>
        <v>16.207967999999997</v>
      </c>
      <c r="AA62" s="106">
        <f t="shared" si="66"/>
        <v>18.909296000000001</v>
      </c>
      <c r="AB62" s="106">
        <f t="shared" si="67"/>
        <v>306.77290663959388</v>
      </c>
      <c r="AC62" s="106">
        <f t="shared" si="34"/>
        <v>92.645417805157351</v>
      </c>
      <c r="AD62" s="106">
        <f t="shared" si="1"/>
        <v>30.063744850680202</v>
      </c>
      <c r="AE62" s="106">
        <f t="shared" si="2"/>
        <v>15.542649314895025</v>
      </c>
      <c r="AF62" s="106" t="s">
        <v>97</v>
      </c>
      <c r="AG62" s="129">
        <v>32.83</v>
      </c>
      <c r="AH62" s="106">
        <v>30.6</v>
      </c>
      <c r="AI62" s="130">
        <v>39.78</v>
      </c>
      <c r="AJ62" s="130">
        <v>41.922000000000011</v>
      </c>
      <c r="AK62" s="130">
        <v>44.370000000000005</v>
      </c>
      <c r="AL62" s="106">
        <f t="shared" si="68"/>
        <v>41.284500000000008</v>
      </c>
      <c r="AM62" s="106">
        <f t="shared" si="76"/>
        <v>311.73513105000001</v>
      </c>
      <c r="AN62" s="106" t="s">
        <v>184</v>
      </c>
      <c r="AO62" s="106">
        <v>8</v>
      </c>
      <c r="AP62" s="106">
        <v>0.1</v>
      </c>
      <c r="AQ62" s="106">
        <f t="shared" si="70"/>
        <v>26.263999999999999</v>
      </c>
      <c r="AR62" s="106">
        <f t="shared" si="71"/>
        <v>337.99913105000002</v>
      </c>
      <c r="AS62" s="106" t="s">
        <v>187</v>
      </c>
      <c r="AT62" s="106">
        <v>52.25</v>
      </c>
      <c r="AU62" s="106">
        <v>3.36</v>
      </c>
      <c r="AV62" s="106">
        <f t="shared" si="78"/>
        <v>16.670185686000003</v>
      </c>
      <c r="AW62" s="106">
        <v>50000</v>
      </c>
      <c r="AX62" s="106">
        <v>23</v>
      </c>
      <c r="AY62" s="106" t="s">
        <v>197</v>
      </c>
      <c r="AZ62" s="106">
        <v>5788.14</v>
      </c>
      <c r="BA62" s="106">
        <v>10</v>
      </c>
      <c r="BB62" s="106">
        <f t="shared" si="77"/>
        <v>26.625444000000002</v>
      </c>
      <c r="BC62" s="106">
        <v>48.62</v>
      </c>
      <c r="BD62" s="106">
        <v>17.510000000000002</v>
      </c>
      <c r="BE62" s="106"/>
      <c r="BF62" s="106">
        <v>5.19</v>
      </c>
      <c r="BG62" s="106"/>
      <c r="BH62" s="149">
        <f t="shared" si="74"/>
        <v>882.09683003143152</v>
      </c>
      <c r="BI62" s="106">
        <f t="shared" si="5"/>
        <v>61.35458132791878</v>
      </c>
      <c r="BJ62" s="149">
        <f t="shared" ref="BJ62:BJ78" si="79">BH62+AE62+BI62</f>
        <v>958.99406067424536</v>
      </c>
      <c r="BK62" s="154">
        <f t="shared" ref="BK62:BK95" si="80">BH62-AD62</f>
        <v>852.0330851807513</v>
      </c>
      <c r="BL62" s="62"/>
      <c r="BM62" s="62"/>
      <c r="BN62" s="62"/>
      <c r="BO62" s="39"/>
      <c r="BS62" s="48"/>
    </row>
    <row r="63" spans="1:71" ht="63">
      <c r="A63" s="40" t="s">
        <v>148</v>
      </c>
      <c r="B63" s="52" t="s">
        <v>274</v>
      </c>
      <c r="C63" s="52" t="s">
        <v>60</v>
      </c>
      <c r="D63" s="52" t="s">
        <v>336</v>
      </c>
      <c r="E63" s="52">
        <v>5</v>
      </c>
      <c r="F63" s="52">
        <v>63.5</v>
      </c>
      <c r="G63" s="56">
        <v>8</v>
      </c>
      <c r="H63" s="54">
        <f t="shared" si="57"/>
        <v>5.08</v>
      </c>
      <c r="I63" s="52">
        <v>10</v>
      </c>
      <c r="J63" s="52">
        <f t="shared" si="58"/>
        <v>6.35</v>
      </c>
      <c r="K63" s="52">
        <v>40</v>
      </c>
      <c r="L63" s="52">
        <f t="shared" si="59"/>
        <v>25.4</v>
      </c>
      <c r="M63" s="52">
        <v>1.85</v>
      </c>
      <c r="N63" s="52">
        <v>25</v>
      </c>
      <c r="O63" s="52">
        <f t="shared" si="60"/>
        <v>15.875</v>
      </c>
      <c r="P63" s="52"/>
      <c r="Q63" s="52"/>
      <c r="R63" s="52">
        <v>40</v>
      </c>
      <c r="S63" s="52">
        <f t="shared" si="61"/>
        <v>47.221999999999987</v>
      </c>
      <c r="T63" s="52">
        <v>30</v>
      </c>
      <c r="U63" s="52">
        <f t="shared" si="62"/>
        <v>49.583099999999988</v>
      </c>
      <c r="V63" s="52">
        <v>30</v>
      </c>
      <c r="W63" s="52">
        <f t="shared" si="63"/>
        <v>49.583099999999988</v>
      </c>
      <c r="X63" s="106">
        <f t="shared" si="64"/>
        <v>264.44319999999993</v>
      </c>
      <c r="Y63" s="106">
        <f t="shared" si="56"/>
        <v>1.5228426395939085</v>
      </c>
      <c r="Z63" s="106">
        <f t="shared" si="65"/>
        <v>15.866591999999995</v>
      </c>
      <c r="AA63" s="106">
        <f t="shared" si="66"/>
        <v>18.511023999999995</v>
      </c>
      <c r="AB63" s="106">
        <f t="shared" si="67"/>
        <v>300.34365863959385</v>
      </c>
      <c r="AC63" s="106">
        <f t="shared" si="34"/>
        <v>90.703784909157335</v>
      </c>
      <c r="AD63" s="106">
        <f t="shared" si="1"/>
        <v>29.433678546680198</v>
      </c>
      <c r="AE63" s="106">
        <f t="shared" si="2"/>
        <v>15.216911464975025</v>
      </c>
      <c r="AF63" s="106" t="s">
        <v>102</v>
      </c>
      <c r="AG63" s="129">
        <v>32.83</v>
      </c>
      <c r="AH63" s="106">
        <v>30.6</v>
      </c>
      <c r="AI63" s="130">
        <v>39.78</v>
      </c>
      <c r="AJ63" s="130">
        <v>41.922000000000011</v>
      </c>
      <c r="AK63" s="130">
        <v>44.370000000000005</v>
      </c>
      <c r="AL63" s="106">
        <f t="shared" si="68"/>
        <v>41.284500000000008</v>
      </c>
      <c r="AM63" s="106">
        <f t="shared" si="76"/>
        <v>311.73513105000001</v>
      </c>
      <c r="AN63" s="106" t="s">
        <v>184</v>
      </c>
      <c r="AO63" s="106">
        <v>8</v>
      </c>
      <c r="AP63" s="106">
        <v>0.1</v>
      </c>
      <c r="AQ63" s="106">
        <f t="shared" si="70"/>
        <v>26.263999999999999</v>
      </c>
      <c r="AR63" s="106">
        <f t="shared" si="71"/>
        <v>337.99913105000002</v>
      </c>
      <c r="AS63" s="106" t="s">
        <v>187</v>
      </c>
      <c r="AT63" s="106">
        <v>52.25</v>
      </c>
      <c r="AU63" s="106">
        <v>3.36</v>
      </c>
      <c r="AV63" s="106">
        <f t="shared" si="78"/>
        <v>16.670185686000003</v>
      </c>
      <c r="AW63" s="106">
        <v>50000</v>
      </c>
      <c r="AX63" s="106">
        <v>23</v>
      </c>
      <c r="AY63" s="106" t="s">
        <v>197</v>
      </c>
      <c r="AZ63" s="106">
        <v>5788.14</v>
      </c>
      <c r="BA63" s="106">
        <v>10</v>
      </c>
      <c r="BB63" s="106">
        <f t="shared" si="77"/>
        <v>26.625444000000002</v>
      </c>
      <c r="BC63" s="106">
        <v>48.62</v>
      </c>
      <c r="BD63" s="106">
        <v>17.510000000000002</v>
      </c>
      <c r="BE63" s="106">
        <v>51.21</v>
      </c>
      <c r="BF63" s="106">
        <v>5.19</v>
      </c>
      <c r="BG63" s="106"/>
      <c r="BH63" s="149">
        <f t="shared" si="74"/>
        <v>924.3058828314314</v>
      </c>
      <c r="BI63" s="106">
        <f t="shared" si="5"/>
        <v>60.068731727918774</v>
      </c>
      <c r="BJ63" s="149">
        <f t="shared" si="79"/>
        <v>999.59152602432528</v>
      </c>
      <c r="BK63" s="154">
        <f t="shared" si="80"/>
        <v>894.87220428475121</v>
      </c>
      <c r="BL63" s="62"/>
      <c r="BM63" s="62"/>
      <c r="BN63" s="62"/>
      <c r="BO63" s="39"/>
      <c r="BS63" s="48"/>
    </row>
    <row r="64" spans="1:71" ht="63">
      <c r="A64" s="40" t="s">
        <v>149</v>
      </c>
      <c r="B64" s="52" t="s">
        <v>275</v>
      </c>
      <c r="C64" s="52" t="s">
        <v>61</v>
      </c>
      <c r="D64" s="52" t="s">
        <v>336</v>
      </c>
      <c r="E64" s="52">
        <v>5</v>
      </c>
      <c r="F64" s="52">
        <v>63.5</v>
      </c>
      <c r="G64" s="52">
        <v>12</v>
      </c>
      <c r="H64" s="54">
        <f t="shared" si="57"/>
        <v>7.62</v>
      </c>
      <c r="I64" s="52">
        <v>10</v>
      </c>
      <c r="J64" s="52">
        <f t="shared" si="58"/>
        <v>6.35</v>
      </c>
      <c r="K64" s="52"/>
      <c r="L64" s="52">
        <f t="shared" si="59"/>
        <v>0</v>
      </c>
      <c r="M64" s="52"/>
      <c r="N64" s="52">
        <v>25</v>
      </c>
      <c r="O64" s="52">
        <f t="shared" si="60"/>
        <v>15.875</v>
      </c>
      <c r="P64" s="52"/>
      <c r="Q64" s="52"/>
      <c r="R64" s="52">
        <v>40</v>
      </c>
      <c r="S64" s="52">
        <f t="shared" si="61"/>
        <v>37.338000000000001</v>
      </c>
      <c r="T64" s="52">
        <v>30</v>
      </c>
      <c r="U64" s="52">
        <f t="shared" si="62"/>
        <v>39.204899999999995</v>
      </c>
      <c r="V64" s="52">
        <v>30</v>
      </c>
      <c r="W64" s="52">
        <f t="shared" si="63"/>
        <v>39.204899999999995</v>
      </c>
      <c r="X64" s="106">
        <f t="shared" si="64"/>
        <v>209.09280000000001</v>
      </c>
      <c r="Y64" s="106">
        <f t="shared" si="56"/>
        <v>1.5228426395939085</v>
      </c>
      <c r="Z64" s="106">
        <f t="shared" si="65"/>
        <v>12.545567999999999</v>
      </c>
      <c r="AA64" s="106">
        <f t="shared" si="66"/>
        <v>14.636496000000003</v>
      </c>
      <c r="AB64" s="106">
        <f t="shared" si="67"/>
        <v>237.79770663959391</v>
      </c>
      <c r="AC64" s="106">
        <f t="shared" si="34"/>
        <v>71.814907405157356</v>
      </c>
      <c r="AD64" s="106">
        <f t="shared" si="1"/>
        <v>23.304175250680203</v>
      </c>
      <c r="AE64" s="106">
        <f t="shared" si="2"/>
        <v>12.048020806895027</v>
      </c>
      <c r="AF64" s="106" t="s">
        <v>97</v>
      </c>
      <c r="AG64" s="129">
        <v>32.83</v>
      </c>
      <c r="AH64" s="106">
        <v>30.6</v>
      </c>
      <c r="AI64" s="130">
        <v>39.78</v>
      </c>
      <c r="AJ64" s="130">
        <v>41.92</v>
      </c>
      <c r="AK64" s="130">
        <v>44.37</v>
      </c>
      <c r="AL64" s="106">
        <f t="shared" si="68"/>
        <v>41.284166666666671</v>
      </c>
      <c r="AM64" s="106">
        <f t="shared" si="76"/>
        <v>311.73261408333332</v>
      </c>
      <c r="AN64" s="106" t="s">
        <v>184</v>
      </c>
      <c r="AO64" s="106">
        <v>8</v>
      </c>
      <c r="AP64" s="106">
        <v>0.1</v>
      </c>
      <c r="AQ64" s="106">
        <f t="shared" si="70"/>
        <v>26.263999999999999</v>
      </c>
      <c r="AR64" s="106">
        <f t="shared" si="71"/>
        <v>337.99661408333333</v>
      </c>
      <c r="AS64" s="106" t="s">
        <v>187</v>
      </c>
      <c r="AT64" s="106">
        <v>52.25</v>
      </c>
      <c r="AU64" s="106">
        <v>3.36</v>
      </c>
      <c r="AV64" s="106">
        <f t="shared" si="78"/>
        <v>16.670051089999998</v>
      </c>
      <c r="AW64" s="106">
        <v>50000</v>
      </c>
      <c r="AX64" s="106">
        <v>23</v>
      </c>
      <c r="AY64" s="106" t="s">
        <v>197</v>
      </c>
      <c r="AZ64" s="106">
        <v>5788.14</v>
      </c>
      <c r="BA64" s="106">
        <v>10</v>
      </c>
      <c r="BB64" s="106">
        <f t="shared" si="77"/>
        <v>26.625444000000002</v>
      </c>
      <c r="BC64" s="106">
        <v>48.62</v>
      </c>
      <c r="BD64" s="106">
        <v>17.510000000000002</v>
      </c>
      <c r="BE64" s="106"/>
      <c r="BF64" s="106">
        <v>5.19</v>
      </c>
      <c r="BG64" s="106"/>
      <c r="BH64" s="149">
        <f t="shared" si="74"/>
        <v>785.52889846876485</v>
      </c>
      <c r="BI64" s="106">
        <f t="shared" si="5"/>
        <v>47.559541327918787</v>
      </c>
      <c r="BJ64" s="149">
        <f t="shared" si="79"/>
        <v>845.1364606035786</v>
      </c>
      <c r="BK64" s="154">
        <f t="shared" si="80"/>
        <v>762.22472321808459</v>
      </c>
      <c r="BL64" s="62"/>
      <c r="BM64" s="62"/>
      <c r="BN64" s="62"/>
      <c r="BO64" s="39"/>
      <c r="BS64" s="48"/>
    </row>
    <row r="65" spans="1:71" ht="63">
      <c r="A65" s="40" t="s">
        <v>150</v>
      </c>
      <c r="B65" s="52" t="s">
        <v>274</v>
      </c>
      <c r="C65" s="52" t="s">
        <v>62</v>
      </c>
      <c r="D65" s="52" t="s">
        <v>336</v>
      </c>
      <c r="E65" s="52">
        <v>5</v>
      </c>
      <c r="F65" s="52">
        <v>63.5</v>
      </c>
      <c r="G65" s="52">
        <v>8</v>
      </c>
      <c r="H65" s="54">
        <f t="shared" si="57"/>
        <v>5.08</v>
      </c>
      <c r="I65" s="52">
        <v>10</v>
      </c>
      <c r="J65" s="52">
        <f t="shared" si="58"/>
        <v>6.35</v>
      </c>
      <c r="K65" s="52"/>
      <c r="L65" s="52">
        <f t="shared" si="59"/>
        <v>0</v>
      </c>
      <c r="M65" s="52"/>
      <c r="N65" s="52">
        <v>25</v>
      </c>
      <c r="O65" s="52">
        <f t="shared" si="60"/>
        <v>15.875</v>
      </c>
      <c r="P65" s="52"/>
      <c r="Q65" s="52"/>
      <c r="R65" s="52">
        <v>40</v>
      </c>
      <c r="S65" s="52">
        <f t="shared" si="61"/>
        <v>36.321999999999996</v>
      </c>
      <c r="T65" s="52">
        <v>30</v>
      </c>
      <c r="U65" s="52">
        <f t="shared" si="62"/>
        <v>38.138099999999994</v>
      </c>
      <c r="V65" s="52">
        <v>30</v>
      </c>
      <c r="W65" s="52">
        <f t="shared" si="63"/>
        <v>38.138099999999994</v>
      </c>
      <c r="X65" s="106">
        <f t="shared" si="64"/>
        <v>203.40319999999997</v>
      </c>
      <c r="Y65" s="106">
        <f t="shared" si="56"/>
        <v>1.5228426395939085</v>
      </c>
      <c r="Z65" s="106">
        <f t="shared" si="65"/>
        <v>12.204191999999997</v>
      </c>
      <c r="AA65" s="106">
        <f t="shared" si="66"/>
        <v>14.238223999999999</v>
      </c>
      <c r="AB65" s="106">
        <f t="shared" si="67"/>
        <v>231.36845863959388</v>
      </c>
      <c r="AC65" s="106">
        <f t="shared" si="34"/>
        <v>69.873274509157355</v>
      </c>
      <c r="AD65" s="106">
        <f t="shared" si="1"/>
        <v>22.674108946680203</v>
      </c>
      <c r="AE65" s="106">
        <f t="shared" si="2"/>
        <v>11.722282956975025</v>
      </c>
      <c r="AF65" s="106" t="s">
        <v>97</v>
      </c>
      <c r="AG65" s="129">
        <v>32.83</v>
      </c>
      <c r="AH65" s="106">
        <v>30.6</v>
      </c>
      <c r="AI65" s="130">
        <v>39.78</v>
      </c>
      <c r="AJ65" s="130">
        <v>41.922000000000011</v>
      </c>
      <c r="AK65" s="130">
        <v>44.370000000000005</v>
      </c>
      <c r="AL65" s="106">
        <f t="shared" si="68"/>
        <v>41.284500000000008</v>
      </c>
      <c r="AM65" s="106">
        <f t="shared" si="76"/>
        <v>311.73513105000001</v>
      </c>
      <c r="AN65" s="106" t="s">
        <v>184</v>
      </c>
      <c r="AO65" s="106">
        <v>8</v>
      </c>
      <c r="AP65" s="106">
        <v>0.1</v>
      </c>
      <c r="AQ65" s="106">
        <f t="shared" si="70"/>
        <v>26.263999999999999</v>
      </c>
      <c r="AR65" s="106">
        <f t="shared" si="71"/>
        <v>337.99913105000002</v>
      </c>
      <c r="AS65" s="106" t="s">
        <v>187</v>
      </c>
      <c r="AT65" s="106">
        <v>52.25</v>
      </c>
      <c r="AU65" s="106">
        <v>3.36</v>
      </c>
      <c r="AV65" s="106">
        <f t="shared" si="78"/>
        <v>16.670185686000003</v>
      </c>
      <c r="AW65" s="106">
        <v>50000</v>
      </c>
      <c r="AX65" s="106">
        <v>23</v>
      </c>
      <c r="AY65" s="106" t="s">
        <v>197</v>
      </c>
      <c r="AZ65" s="106">
        <v>5788.14</v>
      </c>
      <c r="BA65" s="106">
        <v>10</v>
      </c>
      <c r="BB65" s="106">
        <f t="shared" si="77"/>
        <v>26.625444000000002</v>
      </c>
      <c r="BC65" s="106">
        <v>48.62</v>
      </c>
      <c r="BD65" s="106">
        <v>17.510000000000002</v>
      </c>
      <c r="BE65" s="106"/>
      <c r="BF65" s="106">
        <v>5.19</v>
      </c>
      <c r="BG65" s="106"/>
      <c r="BH65" s="149">
        <f t="shared" si="74"/>
        <v>776.53060283143145</v>
      </c>
      <c r="BI65" s="106">
        <f t="shared" si="5"/>
        <v>46.273691727918781</v>
      </c>
      <c r="BJ65" s="149">
        <f t="shared" si="79"/>
        <v>834.52657751632523</v>
      </c>
      <c r="BK65" s="154">
        <f t="shared" si="80"/>
        <v>753.85649388475122</v>
      </c>
      <c r="BL65" s="62"/>
      <c r="BM65" s="62"/>
      <c r="BN65" s="62"/>
      <c r="BO65" s="39"/>
      <c r="BS65" s="48"/>
    </row>
    <row r="66" spans="1:71" ht="63">
      <c r="A66" s="40" t="s">
        <v>151</v>
      </c>
      <c r="B66" s="52" t="s">
        <v>276</v>
      </c>
      <c r="C66" s="52" t="s">
        <v>63</v>
      </c>
      <c r="D66" s="52" t="s">
        <v>336</v>
      </c>
      <c r="E66" s="52">
        <v>5</v>
      </c>
      <c r="F66" s="52">
        <v>63.5</v>
      </c>
      <c r="G66" s="52">
        <v>12</v>
      </c>
      <c r="H66" s="54">
        <f t="shared" si="57"/>
        <v>7.62</v>
      </c>
      <c r="I66" s="52">
        <v>10</v>
      </c>
      <c r="J66" s="52">
        <f t="shared" si="58"/>
        <v>6.35</v>
      </c>
      <c r="K66" s="52"/>
      <c r="L66" s="52">
        <f t="shared" si="59"/>
        <v>0</v>
      </c>
      <c r="M66" s="52"/>
      <c r="N66" s="52">
        <v>25</v>
      </c>
      <c r="O66" s="52">
        <f t="shared" si="60"/>
        <v>15.875</v>
      </c>
      <c r="P66" s="52"/>
      <c r="Q66" s="52"/>
      <c r="R66" s="52">
        <v>40</v>
      </c>
      <c r="S66" s="52">
        <f t="shared" si="61"/>
        <v>37.338000000000001</v>
      </c>
      <c r="T66" s="52">
        <v>30</v>
      </c>
      <c r="U66" s="52">
        <f t="shared" si="62"/>
        <v>39.204899999999995</v>
      </c>
      <c r="V66" s="52">
        <v>30</v>
      </c>
      <c r="W66" s="52">
        <f t="shared" si="63"/>
        <v>39.204899999999995</v>
      </c>
      <c r="X66" s="106">
        <f t="shared" si="64"/>
        <v>209.09280000000001</v>
      </c>
      <c r="Y66" s="106">
        <f t="shared" si="56"/>
        <v>1.5228426395939085</v>
      </c>
      <c r="Z66" s="106">
        <f t="shared" si="65"/>
        <v>12.545567999999999</v>
      </c>
      <c r="AA66" s="106">
        <f t="shared" si="66"/>
        <v>14.636496000000003</v>
      </c>
      <c r="AB66" s="106">
        <f t="shared" si="67"/>
        <v>237.79770663959391</v>
      </c>
      <c r="AC66" s="106">
        <f t="shared" si="34"/>
        <v>71.814907405157356</v>
      </c>
      <c r="AD66" s="106">
        <f t="shared" si="1"/>
        <v>23.304175250680203</v>
      </c>
      <c r="AE66" s="106">
        <f t="shared" si="2"/>
        <v>12.048020806895027</v>
      </c>
      <c r="AF66" s="106" t="s">
        <v>97</v>
      </c>
      <c r="AG66" s="129">
        <v>32.83</v>
      </c>
      <c r="AH66" s="106">
        <v>27</v>
      </c>
      <c r="AI66" s="130">
        <v>35.1</v>
      </c>
      <c r="AJ66" s="130">
        <v>36.99</v>
      </c>
      <c r="AK66" s="130">
        <v>39.15</v>
      </c>
      <c r="AL66" s="106">
        <f t="shared" si="68"/>
        <v>36.427500000000002</v>
      </c>
      <c r="AM66" s="106">
        <f t="shared" si="76"/>
        <v>275.06040975000002</v>
      </c>
      <c r="AN66" s="106"/>
      <c r="AO66" s="106"/>
      <c r="AP66" s="106"/>
      <c r="AQ66" s="106">
        <f t="shared" si="70"/>
        <v>0</v>
      </c>
      <c r="AR66" s="106">
        <f t="shared" si="71"/>
        <v>275.06040975000002</v>
      </c>
      <c r="AS66" s="106" t="s">
        <v>187</v>
      </c>
      <c r="AT66" s="106">
        <v>52.25</v>
      </c>
      <c r="AU66" s="106">
        <v>3.36</v>
      </c>
      <c r="AV66" s="106">
        <f t="shared" si="78"/>
        <v>14.708987369999997</v>
      </c>
      <c r="AW66" s="106">
        <v>50000</v>
      </c>
      <c r="AX66" s="106">
        <v>23</v>
      </c>
      <c r="AY66" s="106" t="s">
        <v>195</v>
      </c>
      <c r="AZ66" s="106">
        <v>7523.73</v>
      </c>
      <c r="BA66" s="106">
        <v>10</v>
      </c>
      <c r="BB66" s="106">
        <f t="shared" si="77"/>
        <v>34.609157999999994</v>
      </c>
      <c r="BC66" s="106">
        <v>48.62</v>
      </c>
      <c r="BD66" s="106">
        <v>17.510000000000002</v>
      </c>
      <c r="BE66" s="106">
        <v>31.05</v>
      </c>
      <c r="BF66" s="106">
        <v>5.19</v>
      </c>
      <c r="BG66" s="106"/>
      <c r="BH66" s="149">
        <f t="shared" si="74"/>
        <v>759.66534441543149</v>
      </c>
      <c r="BI66" s="106">
        <f t="shared" si="5"/>
        <v>47.559541327918787</v>
      </c>
      <c r="BJ66" s="149">
        <f t="shared" si="79"/>
        <v>819.27290655024524</v>
      </c>
      <c r="BK66" s="154">
        <f t="shared" si="80"/>
        <v>736.36116916475135</v>
      </c>
      <c r="BL66" s="62"/>
      <c r="BM66" s="62"/>
      <c r="BN66" s="62"/>
      <c r="BO66" s="39"/>
      <c r="BS66" s="48"/>
    </row>
    <row r="67" spans="1:71" ht="63">
      <c r="A67" s="40" t="s">
        <v>152</v>
      </c>
      <c r="B67" s="52" t="s">
        <v>64</v>
      </c>
      <c r="C67" s="52" t="s">
        <v>65</v>
      </c>
      <c r="D67" s="52" t="s">
        <v>338</v>
      </c>
      <c r="E67" s="52">
        <v>3</v>
      </c>
      <c r="F67" s="52">
        <v>51.74</v>
      </c>
      <c r="G67" s="52">
        <v>0</v>
      </c>
      <c r="H67" s="54">
        <f t="shared" si="57"/>
        <v>0</v>
      </c>
      <c r="I67" s="52"/>
      <c r="J67" s="52">
        <f t="shared" si="58"/>
        <v>0</v>
      </c>
      <c r="K67" s="52"/>
      <c r="L67" s="52">
        <f t="shared" si="59"/>
        <v>0</v>
      </c>
      <c r="M67" s="52"/>
      <c r="N67" s="52"/>
      <c r="O67" s="52">
        <f t="shared" si="60"/>
        <v>0</v>
      </c>
      <c r="P67" s="52"/>
      <c r="Q67" s="52"/>
      <c r="R67" s="52">
        <v>40</v>
      </c>
      <c r="S67" s="52">
        <f t="shared" si="61"/>
        <v>20.695999999999998</v>
      </c>
      <c r="T67" s="52">
        <v>30</v>
      </c>
      <c r="U67" s="52">
        <f t="shared" si="62"/>
        <v>21.730800000000002</v>
      </c>
      <c r="V67" s="52">
        <v>30</v>
      </c>
      <c r="W67" s="52">
        <f t="shared" si="63"/>
        <v>21.730800000000002</v>
      </c>
      <c r="X67" s="106">
        <f t="shared" si="64"/>
        <v>115.89760000000001</v>
      </c>
      <c r="Y67" s="106">
        <f t="shared" si="56"/>
        <v>1.5228426395939085</v>
      </c>
      <c r="Z67" s="106">
        <f t="shared" si="65"/>
        <v>6.953856</v>
      </c>
      <c r="AA67" s="106">
        <f t="shared" si="66"/>
        <v>8.1128320000000009</v>
      </c>
      <c r="AB67" s="106">
        <f t="shared" si="67"/>
        <v>132.48713063959391</v>
      </c>
      <c r="AC67" s="106">
        <f t="shared" si="34"/>
        <v>40.011113453157364</v>
      </c>
      <c r="AD67" s="106">
        <f t="shared" si="1"/>
        <v>12.983738802680204</v>
      </c>
      <c r="AE67" s="106">
        <f t="shared" si="2"/>
        <v>6.7124604738550264</v>
      </c>
      <c r="AF67" s="106" t="s">
        <v>98</v>
      </c>
      <c r="AG67" s="106">
        <v>30.04</v>
      </c>
      <c r="AH67" s="106">
        <v>3.2</v>
      </c>
      <c r="AI67" s="130">
        <v>3.2</v>
      </c>
      <c r="AJ67" s="130">
        <v>3.2</v>
      </c>
      <c r="AK67" s="130">
        <v>3.7759999999999998</v>
      </c>
      <c r="AL67" s="106">
        <f t="shared" si="68"/>
        <v>3.3439999999999999</v>
      </c>
      <c r="AM67" s="106">
        <f>AG67*AL67</f>
        <v>100.45375999999999</v>
      </c>
      <c r="AN67" s="106"/>
      <c r="AO67" s="106"/>
      <c r="AP67" s="106"/>
      <c r="AQ67" s="106">
        <f t="shared" si="70"/>
        <v>0</v>
      </c>
      <c r="AR67" s="106">
        <f t="shared" si="71"/>
        <v>100.45375999999999</v>
      </c>
      <c r="AS67" s="106" t="s">
        <v>188</v>
      </c>
      <c r="AT67" s="106">
        <v>115.5</v>
      </c>
      <c r="AU67" s="106">
        <v>2.88</v>
      </c>
      <c r="AV67" s="106">
        <f>AL67*AU67/100*AT67</f>
        <v>11.123481599999998</v>
      </c>
      <c r="AW67" s="106">
        <v>2000</v>
      </c>
      <c r="AX67" s="106"/>
      <c r="AY67" s="106"/>
      <c r="AZ67" s="106"/>
      <c r="BA67" s="106"/>
      <c r="BB67" s="106">
        <f>AZ67*BA67/2000</f>
        <v>0</v>
      </c>
      <c r="BC67" s="106">
        <v>48.62</v>
      </c>
      <c r="BD67" s="106">
        <v>17.510000000000002</v>
      </c>
      <c r="BE67" s="106">
        <v>23.21</v>
      </c>
      <c r="BF67" s="106">
        <v>5.19</v>
      </c>
      <c r="BG67" s="106"/>
      <c r="BH67" s="149">
        <f t="shared" si="74"/>
        <v>391.58922449543144</v>
      </c>
      <c r="BI67" s="106">
        <f t="shared" si="5"/>
        <v>26.497426127918786</v>
      </c>
      <c r="BJ67" s="149">
        <f t="shared" si="79"/>
        <v>424.79911109720524</v>
      </c>
      <c r="BK67" s="154">
        <f t="shared" si="80"/>
        <v>378.60548569275124</v>
      </c>
      <c r="BL67" s="62"/>
      <c r="BM67" s="62"/>
      <c r="BN67" s="62"/>
      <c r="BO67" s="39"/>
      <c r="BS67" s="48"/>
    </row>
    <row r="68" spans="1:71" ht="63">
      <c r="A68" s="40" t="s">
        <v>153</v>
      </c>
      <c r="B68" s="52" t="s">
        <v>277</v>
      </c>
      <c r="C68" s="52" t="s">
        <v>66</v>
      </c>
      <c r="D68" s="52" t="s">
        <v>336</v>
      </c>
      <c r="E68" s="52">
        <v>5</v>
      </c>
      <c r="F68" s="52">
        <v>63.5</v>
      </c>
      <c r="G68" s="52"/>
      <c r="H68" s="54">
        <f t="shared" si="57"/>
        <v>0</v>
      </c>
      <c r="I68" s="52"/>
      <c r="J68" s="52">
        <f t="shared" si="58"/>
        <v>0</v>
      </c>
      <c r="K68" s="52"/>
      <c r="L68" s="52">
        <f t="shared" si="59"/>
        <v>0</v>
      </c>
      <c r="M68" s="52">
        <v>1.85</v>
      </c>
      <c r="N68" s="52">
        <v>25</v>
      </c>
      <c r="O68" s="52">
        <f t="shared" si="60"/>
        <v>15.875</v>
      </c>
      <c r="P68" s="52"/>
      <c r="Q68" s="52"/>
      <c r="R68" s="52">
        <v>40</v>
      </c>
      <c r="S68" s="52">
        <f t="shared" si="61"/>
        <v>32.49</v>
      </c>
      <c r="T68" s="52">
        <v>30</v>
      </c>
      <c r="U68" s="52">
        <f t="shared" si="62"/>
        <v>34.1145</v>
      </c>
      <c r="V68" s="52">
        <v>30</v>
      </c>
      <c r="W68" s="52">
        <f t="shared" si="63"/>
        <v>34.1145</v>
      </c>
      <c r="X68" s="106">
        <f t="shared" si="64"/>
        <v>181.94399999999999</v>
      </c>
      <c r="Y68" s="106">
        <f t="shared" si="56"/>
        <v>1.5228426395939085</v>
      </c>
      <c r="Z68" s="106">
        <f t="shared" si="65"/>
        <v>10.916639999999999</v>
      </c>
      <c r="AA68" s="106">
        <f t="shared" si="66"/>
        <v>12.736080000000001</v>
      </c>
      <c r="AB68" s="106">
        <f t="shared" si="67"/>
        <v>207.11956263959388</v>
      </c>
      <c r="AC68" s="106">
        <f t="shared" si="34"/>
        <v>62.550107917157348</v>
      </c>
      <c r="AD68" s="106">
        <f t="shared" si="1"/>
        <v>20.297717138680202</v>
      </c>
      <c r="AE68" s="106">
        <f t="shared" si="2"/>
        <v>10.493712641135026</v>
      </c>
      <c r="AF68" s="106" t="s">
        <v>102</v>
      </c>
      <c r="AG68" s="129">
        <v>32.83</v>
      </c>
      <c r="AH68" s="106">
        <v>31</v>
      </c>
      <c r="AI68" s="130">
        <v>37.199999999999996</v>
      </c>
      <c r="AJ68" s="130">
        <v>39.369999999999997</v>
      </c>
      <c r="AK68" s="130">
        <v>41.849999999999994</v>
      </c>
      <c r="AL68" s="106">
        <f t="shared" si="68"/>
        <v>38.724166666666662</v>
      </c>
      <c r="AM68" s="106">
        <f t="shared" ref="AM68:AM106" si="81">AG68*AL68/100*23</f>
        <v>292.4023100833333</v>
      </c>
      <c r="AN68" s="106"/>
      <c r="AO68" s="106"/>
      <c r="AP68" s="106"/>
      <c r="AQ68" s="106">
        <f t="shared" si="70"/>
        <v>0</v>
      </c>
      <c r="AR68" s="106">
        <f t="shared" si="71"/>
        <v>292.4023100833333</v>
      </c>
      <c r="AS68" s="106" t="s">
        <v>187</v>
      </c>
      <c r="AT68" s="106">
        <v>52.25</v>
      </c>
      <c r="AU68" s="106">
        <v>2.8</v>
      </c>
      <c r="AV68" s="106">
        <f t="shared" ref="AV68:AV76" si="82">AL68/100*23*AU68/100*AT68</f>
        <v>13.030294841666661</v>
      </c>
      <c r="AW68" s="106">
        <v>50000</v>
      </c>
      <c r="AX68" s="106">
        <v>23</v>
      </c>
      <c r="AY68" s="106" t="s">
        <v>195</v>
      </c>
      <c r="AZ68" s="106">
        <v>7523.73</v>
      </c>
      <c r="BA68" s="106">
        <v>10</v>
      </c>
      <c r="BB68" s="106">
        <f t="shared" ref="BB68:BB83" si="83">AZ68*BA68/AW68*AX68</f>
        <v>34.609157999999994</v>
      </c>
      <c r="BC68" s="106">
        <v>48.62</v>
      </c>
      <c r="BD68" s="106">
        <v>17.510000000000002</v>
      </c>
      <c r="BE68" s="106">
        <v>206.35</v>
      </c>
      <c r="BF68" s="106">
        <v>5.19</v>
      </c>
      <c r="BG68" s="106"/>
      <c r="BH68" s="149">
        <f t="shared" si="74"/>
        <v>907.67915062043141</v>
      </c>
      <c r="BI68" s="106">
        <f t="shared" si="5"/>
        <v>41.42391252791878</v>
      </c>
      <c r="BJ68" s="149">
        <f t="shared" si="79"/>
        <v>959.59677578948526</v>
      </c>
      <c r="BK68" s="154">
        <f t="shared" si="80"/>
        <v>887.38143348175117</v>
      </c>
      <c r="BL68" s="62"/>
      <c r="BM68" s="62"/>
      <c r="BN68" s="62"/>
      <c r="BO68" s="39"/>
      <c r="BS68" s="48"/>
    </row>
    <row r="69" spans="1:71" ht="63">
      <c r="A69" s="40" t="s">
        <v>154</v>
      </c>
      <c r="B69" s="52" t="s">
        <v>277</v>
      </c>
      <c r="C69" s="52" t="s">
        <v>82</v>
      </c>
      <c r="D69" s="52" t="s">
        <v>336</v>
      </c>
      <c r="E69" s="52">
        <v>5</v>
      </c>
      <c r="F69" s="52">
        <v>63.5</v>
      </c>
      <c r="G69" s="52"/>
      <c r="H69" s="54">
        <f t="shared" si="57"/>
        <v>0</v>
      </c>
      <c r="I69" s="52"/>
      <c r="J69" s="52">
        <f t="shared" si="58"/>
        <v>0</v>
      </c>
      <c r="K69" s="52"/>
      <c r="L69" s="52">
        <f t="shared" si="59"/>
        <v>0</v>
      </c>
      <c r="M69" s="52">
        <v>1.85</v>
      </c>
      <c r="N69" s="52">
        <v>25</v>
      </c>
      <c r="O69" s="52">
        <f t="shared" si="60"/>
        <v>15.875</v>
      </c>
      <c r="P69" s="52"/>
      <c r="Q69" s="52"/>
      <c r="R69" s="52">
        <v>40</v>
      </c>
      <c r="S69" s="52">
        <f t="shared" si="61"/>
        <v>32.49</v>
      </c>
      <c r="T69" s="52">
        <v>30</v>
      </c>
      <c r="U69" s="52">
        <f t="shared" si="62"/>
        <v>34.1145</v>
      </c>
      <c r="V69" s="52">
        <v>30</v>
      </c>
      <c r="W69" s="52">
        <f t="shared" si="63"/>
        <v>34.1145</v>
      </c>
      <c r="X69" s="106">
        <f t="shared" si="64"/>
        <v>181.94399999999999</v>
      </c>
      <c r="Y69" s="106">
        <f t="shared" si="56"/>
        <v>1.5228426395939085</v>
      </c>
      <c r="Z69" s="106">
        <f t="shared" si="65"/>
        <v>10.916639999999999</v>
      </c>
      <c r="AA69" s="106">
        <f t="shared" si="66"/>
        <v>12.736080000000001</v>
      </c>
      <c r="AB69" s="106">
        <f t="shared" si="67"/>
        <v>207.11956263959388</v>
      </c>
      <c r="AC69" s="106">
        <f t="shared" si="34"/>
        <v>62.550107917157348</v>
      </c>
      <c r="AD69" s="106">
        <f t="shared" si="1"/>
        <v>20.297717138680202</v>
      </c>
      <c r="AE69" s="106">
        <f t="shared" si="2"/>
        <v>10.493712641135026</v>
      </c>
      <c r="AF69" s="106" t="s">
        <v>102</v>
      </c>
      <c r="AG69" s="129">
        <v>32.83</v>
      </c>
      <c r="AH69" s="106">
        <v>31</v>
      </c>
      <c r="AI69" s="130">
        <v>37.199999999999996</v>
      </c>
      <c r="AJ69" s="130">
        <v>39.369999999999997</v>
      </c>
      <c r="AK69" s="130">
        <v>41.849999999999994</v>
      </c>
      <c r="AL69" s="106">
        <f t="shared" si="68"/>
        <v>38.724166666666662</v>
      </c>
      <c r="AM69" s="106">
        <f t="shared" si="81"/>
        <v>292.4023100833333</v>
      </c>
      <c r="AN69" s="106"/>
      <c r="AO69" s="106"/>
      <c r="AP69" s="106"/>
      <c r="AQ69" s="106">
        <f t="shared" si="70"/>
        <v>0</v>
      </c>
      <c r="AR69" s="106">
        <f t="shared" si="71"/>
        <v>292.4023100833333</v>
      </c>
      <c r="AS69" s="106" t="s">
        <v>187</v>
      </c>
      <c r="AT69" s="106">
        <v>52.25</v>
      </c>
      <c r="AU69" s="106">
        <v>2.8</v>
      </c>
      <c r="AV69" s="106">
        <f t="shared" si="82"/>
        <v>13.030294841666661</v>
      </c>
      <c r="AW69" s="106">
        <v>50000</v>
      </c>
      <c r="AX69" s="106">
        <v>23</v>
      </c>
      <c r="AY69" s="106" t="s">
        <v>195</v>
      </c>
      <c r="AZ69" s="106">
        <v>7523.73</v>
      </c>
      <c r="BA69" s="106">
        <v>10</v>
      </c>
      <c r="BB69" s="106">
        <f t="shared" si="83"/>
        <v>34.609157999999994</v>
      </c>
      <c r="BC69" s="106">
        <v>48.62</v>
      </c>
      <c r="BD69" s="106">
        <v>17.510000000000002</v>
      </c>
      <c r="BE69" s="106">
        <v>206.35</v>
      </c>
      <c r="BF69" s="106">
        <v>5.19</v>
      </c>
      <c r="BG69" s="106"/>
      <c r="BH69" s="149">
        <f t="shared" si="74"/>
        <v>907.67915062043141</v>
      </c>
      <c r="BI69" s="106">
        <f t="shared" si="5"/>
        <v>41.42391252791878</v>
      </c>
      <c r="BJ69" s="149">
        <f t="shared" si="79"/>
        <v>959.59677578948526</v>
      </c>
      <c r="BK69" s="154">
        <f t="shared" si="80"/>
        <v>887.38143348175117</v>
      </c>
      <c r="BL69" s="62"/>
      <c r="BM69" s="62"/>
      <c r="BN69" s="62"/>
      <c r="BO69" s="39"/>
      <c r="BS69" s="48"/>
    </row>
    <row r="70" spans="1:71" ht="63">
      <c r="A70" s="40" t="s">
        <v>155</v>
      </c>
      <c r="B70" s="52" t="s">
        <v>278</v>
      </c>
      <c r="C70" s="52" t="s">
        <v>83</v>
      </c>
      <c r="D70" s="52" t="s">
        <v>336</v>
      </c>
      <c r="E70" s="52">
        <v>5</v>
      </c>
      <c r="F70" s="52">
        <v>63.5</v>
      </c>
      <c r="G70" s="52">
        <v>6</v>
      </c>
      <c r="H70" s="54">
        <f t="shared" si="57"/>
        <v>3.81</v>
      </c>
      <c r="I70" s="52">
        <v>10</v>
      </c>
      <c r="J70" s="52">
        <f t="shared" si="58"/>
        <v>6.35</v>
      </c>
      <c r="K70" s="52">
        <v>40</v>
      </c>
      <c r="L70" s="52">
        <f t="shared" si="59"/>
        <v>25.4</v>
      </c>
      <c r="M70" s="52">
        <v>1.85</v>
      </c>
      <c r="N70" s="52">
        <v>25</v>
      </c>
      <c r="O70" s="52">
        <f t="shared" si="60"/>
        <v>15.875</v>
      </c>
      <c r="P70" s="52"/>
      <c r="Q70" s="52"/>
      <c r="R70" s="52">
        <v>40</v>
      </c>
      <c r="S70" s="52">
        <f t="shared" si="61"/>
        <v>46.713999999999999</v>
      </c>
      <c r="T70" s="52">
        <v>30</v>
      </c>
      <c r="U70" s="52">
        <f t="shared" si="62"/>
        <v>49.049700000000001</v>
      </c>
      <c r="V70" s="52">
        <v>30</v>
      </c>
      <c r="W70" s="52">
        <f t="shared" si="63"/>
        <v>49.049700000000001</v>
      </c>
      <c r="X70" s="106">
        <f t="shared" si="64"/>
        <v>261.59839999999997</v>
      </c>
      <c r="Y70" s="106">
        <f t="shared" si="56"/>
        <v>1.5228426395939085</v>
      </c>
      <c r="Z70" s="106">
        <f t="shared" si="65"/>
        <v>15.695903999999997</v>
      </c>
      <c r="AA70" s="106">
        <f t="shared" si="66"/>
        <v>18.311888</v>
      </c>
      <c r="AB70" s="106">
        <f t="shared" si="67"/>
        <v>297.1290346395939</v>
      </c>
      <c r="AC70" s="106">
        <f t="shared" si="34"/>
        <v>89.732968461157355</v>
      </c>
      <c r="AD70" s="106">
        <f t="shared" si="1"/>
        <v>29.118645394680204</v>
      </c>
      <c r="AE70" s="106">
        <f t="shared" si="2"/>
        <v>15.054042540015027</v>
      </c>
      <c r="AF70" s="106" t="s">
        <v>102</v>
      </c>
      <c r="AG70" s="129">
        <v>32.83</v>
      </c>
      <c r="AH70" s="106">
        <v>31</v>
      </c>
      <c r="AI70" s="130">
        <v>37.199999999999996</v>
      </c>
      <c r="AJ70" s="130">
        <v>39.369999999999997</v>
      </c>
      <c r="AK70" s="130">
        <v>41.849999999999994</v>
      </c>
      <c r="AL70" s="106">
        <f t="shared" si="68"/>
        <v>38.724166666666662</v>
      </c>
      <c r="AM70" s="106">
        <f t="shared" si="81"/>
        <v>292.4023100833333</v>
      </c>
      <c r="AN70" s="106" t="s">
        <v>184</v>
      </c>
      <c r="AO70" s="106">
        <v>8</v>
      </c>
      <c r="AP70" s="106">
        <v>0.1</v>
      </c>
      <c r="AQ70" s="106">
        <f t="shared" si="70"/>
        <v>26.263999999999999</v>
      </c>
      <c r="AR70" s="106">
        <f t="shared" si="71"/>
        <v>318.66631008333331</v>
      </c>
      <c r="AS70" s="106" t="s">
        <v>187</v>
      </c>
      <c r="AT70" s="106">
        <v>52.25</v>
      </c>
      <c r="AU70" s="106">
        <v>2.8</v>
      </c>
      <c r="AV70" s="106">
        <f t="shared" si="82"/>
        <v>13.030294841666661</v>
      </c>
      <c r="AW70" s="106">
        <v>50000</v>
      </c>
      <c r="AX70" s="106">
        <v>23</v>
      </c>
      <c r="AY70" s="106" t="s">
        <v>195</v>
      </c>
      <c r="AZ70" s="106">
        <v>7523.73</v>
      </c>
      <c r="BA70" s="106">
        <v>10</v>
      </c>
      <c r="BB70" s="106">
        <f t="shared" si="83"/>
        <v>34.609157999999994</v>
      </c>
      <c r="BC70" s="106">
        <v>48.62</v>
      </c>
      <c r="BD70" s="106">
        <v>17.510000000000002</v>
      </c>
      <c r="BE70" s="106">
        <f>317.48</f>
        <v>317.48</v>
      </c>
      <c r="BF70" s="106">
        <v>5.19</v>
      </c>
      <c r="BG70" s="106"/>
      <c r="BH70" s="149">
        <f t="shared" si="74"/>
        <v>1171.0864114204314</v>
      </c>
      <c r="BI70" s="106">
        <f t="shared" si="5"/>
        <v>59.425806927918785</v>
      </c>
      <c r="BJ70" s="149">
        <f t="shared" si="79"/>
        <v>1245.5662608883652</v>
      </c>
      <c r="BK70" s="154">
        <f t="shared" si="80"/>
        <v>1141.9677660257512</v>
      </c>
      <c r="BL70" s="62"/>
      <c r="BM70" s="62"/>
      <c r="BN70" s="62"/>
      <c r="BO70" s="39"/>
      <c r="BS70" s="48"/>
    </row>
    <row r="71" spans="1:71" ht="63">
      <c r="A71" s="40" t="s">
        <v>156</v>
      </c>
      <c r="B71" s="68" t="s">
        <v>316</v>
      </c>
      <c r="C71" s="68" t="s">
        <v>317</v>
      </c>
      <c r="D71" s="52" t="s">
        <v>336</v>
      </c>
      <c r="E71" s="68">
        <v>5</v>
      </c>
      <c r="F71" s="52">
        <v>63.5</v>
      </c>
      <c r="G71" s="52">
        <v>0</v>
      </c>
      <c r="H71" s="54">
        <f t="shared" si="57"/>
        <v>0</v>
      </c>
      <c r="I71" s="52"/>
      <c r="J71" s="52">
        <f t="shared" si="58"/>
        <v>0</v>
      </c>
      <c r="K71" s="52"/>
      <c r="L71" s="52">
        <f t="shared" si="59"/>
        <v>0</v>
      </c>
      <c r="M71" s="52"/>
      <c r="N71" s="52">
        <v>25</v>
      </c>
      <c r="O71" s="52">
        <f t="shared" si="60"/>
        <v>15.875</v>
      </c>
      <c r="P71" s="52"/>
      <c r="Q71" s="52"/>
      <c r="R71" s="52">
        <v>40</v>
      </c>
      <c r="S71" s="52">
        <f t="shared" si="61"/>
        <v>31.75</v>
      </c>
      <c r="T71" s="52">
        <v>30</v>
      </c>
      <c r="U71" s="52">
        <f t="shared" si="62"/>
        <v>33.337499999999999</v>
      </c>
      <c r="V71" s="52">
        <v>30</v>
      </c>
      <c r="W71" s="52">
        <f t="shared" si="63"/>
        <v>33.337499999999999</v>
      </c>
      <c r="X71" s="106">
        <f t="shared" si="64"/>
        <v>177.8</v>
      </c>
      <c r="Y71" s="106">
        <f t="shared" si="56"/>
        <v>1.5228426395939085</v>
      </c>
      <c r="Z71" s="106">
        <f t="shared" ref="Z71:Z76" si="84">(X71-S71*1.6)*0.06</f>
        <v>7.62</v>
      </c>
      <c r="AA71" s="106">
        <f t="shared" si="66"/>
        <v>12.446000000000002</v>
      </c>
      <c r="AB71" s="106">
        <f t="shared" si="67"/>
        <v>199.38884263959392</v>
      </c>
      <c r="AC71" s="106">
        <f t="shared" si="34"/>
        <v>60.215430477157362</v>
      </c>
      <c r="AD71" s="106">
        <f t="shared" si="1"/>
        <v>19.540106578680206</v>
      </c>
      <c r="AE71" s="106">
        <f t="shared" si="2"/>
        <v>10.102035712335027</v>
      </c>
      <c r="AF71" s="106" t="s">
        <v>97</v>
      </c>
      <c r="AG71" s="129">
        <v>32.83</v>
      </c>
      <c r="AH71" s="106">
        <v>25</v>
      </c>
      <c r="AI71" s="130">
        <v>31.75</v>
      </c>
      <c r="AJ71" s="130">
        <v>33.5</v>
      </c>
      <c r="AK71" s="130">
        <v>35.5</v>
      </c>
      <c r="AL71" s="106">
        <f t="shared" si="68"/>
        <v>32.979166666666664</v>
      </c>
      <c r="AM71" s="106">
        <f t="shared" si="81"/>
        <v>249.02238958333331</v>
      </c>
      <c r="AN71" s="106" t="s">
        <v>184</v>
      </c>
      <c r="AO71" s="106">
        <v>8</v>
      </c>
      <c r="AP71" s="106">
        <v>0.1</v>
      </c>
      <c r="AQ71" s="106">
        <f>AO71*AP71*AG71</f>
        <v>26.263999999999999</v>
      </c>
      <c r="AR71" s="106">
        <f t="shared" si="71"/>
        <v>275.28638958333329</v>
      </c>
      <c r="AS71" s="106" t="s">
        <v>187</v>
      </c>
      <c r="AT71" s="106">
        <v>52.25</v>
      </c>
      <c r="AU71" s="106">
        <v>3.2</v>
      </c>
      <c r="AV71" s="106">
        <f t="shared" si="82"/>
        <v>12.682468333333333</v>
      </c>
      <c r="AW71" s="106">
        <v>50000</v>
      </c>
      <c r="AX71" s="106">
        <v>23</v>
      </c>
      <c r="AY71" s="106" t="s">
        <v>196</v>
      </c>
      <c r="AZ71" s="106">
        <v>5000</v>
      </c>
      <c r="BA71" s="106">
        <v>10</v>
      </c>
      <c r="BB71" s="106">
        <f t="shared" si="83"/>
        <v>23</v>
      </c>
      <c r="BC71" s="106">
        <v>48.62</v>
      </c>
      <c r="BD71" s="106">
        <v>17.510000000000002</v>
      </c>
      <c r="BE71" s="129">
        <f>1293.34/2</f>
        <v>646.66999999999996</v>
      </c>
      <c r="BF71" s="106">
        <v>5.19</v>
      </c>
      <c r="BG71" s="106"/>
      <c r="BH71" s="149">
        <f t="shared" si="74"/>
        <v>1308.1032376120979</v>
      </c>
      <c r="BI71" s="106">
        <f t="shared" si="5"/>
        <v>39.877768527918789</v>
      </c>
      <c r="BJ71" s="149">
        <f t="shared" si="79"/>
        <v>1358.0830418523517</v>
      </c>
      <c r="BK71" s="154">
        <f t="shared" si="80"/>
        <v>1288.5631310334177</v>
      </c>
      <c r="BL71" s="62"/>
      <c r="BM71" s="62"/>
      <c r="BN71" s="62"/>
      <c r="BO71" s="39"/>
      <c r="BS71" s="48"/>
    </row>
    <row r="72" spans="1:71" ht="63">
      <c r="A72" s="40" t="s">
        <v>157</v>
      </c>
      <c r="B72" s="68" t="s">
        <v>318</v>
      </c>
      <c r="C72" s="68" t="s">
        <v>319</v>
      </c>
      <c r="D72" s="52" t="s">
        <v>336</v>
      </c>
      <c r="E72" s="68">
        <v>5</v>
      </c>
      <c r="F72" s="52">
        <v>63.5</v>
      </c>
      <c r="G72" s="52">
        <v>0</v>
      </c>
      <c r="H72" s="54">
        <f t="shared" si="57"/>
        <v>0</v>
      </c>
      <c r="I72" s="52"/>
      <c r="J72" s="52">
        <f t="shared" si="58"/>
        <v>0</v>
      </c>
      <c r="K72" s="52"/>
      <c r="L72" s="52">
        <f t="shared" si="59"/>
        <v>0</v>
      </c>
      <c r="M72" s="52"/>
      <c r="N72" s="52">
        <v>25</v>
      </c>
      <c r="O72" s="52">
        <f t="shared" si="60"/>
        <v>15.875</v>
      </c>
      <c r="P72" s="52"/>
      <c r="Q72" s="52"/>
      <c r="R72" s="52">
        <v>40</v>
      </c>
      <c r="S72" s="52">
        <f t="shared" si="61"/>
        <v>31.75</v>
      </c>
      <c r="T72" s="52">
        <v>30</v>
      </c>
      <c r="U72" s="52">
        <f t="shared" si="62"/>
        <v>33.337499999999999</v>
      </c>
      <c r="V72" s="52">
        <v>30</v>
      </c>
      <c r="W72" s="52">
        <f t="shared" si="63"/>
        <v>33.337499999999999</v>
      </c>
      <c r="X72" s="106">
        <f t="shared" si="64"/>
        <v>177.8</v>
      </c>
      <c r="Y72" s="106">
        <f t="shared" si="56"/>
        <v>1.5228426395939085</v>
      </c>
      <c r="Z72" s="106">
        <f t="shared" si="84"/>
        <v>7.62</v>
      </c>
      <c r="AA72" s="106">
        <f t="shared" si="66"/>
        <v>12.446000000000002</v>
      </c>
      <c r="AB72" s="106">
        <f t="shared" si="67"/>
        <v>199.38884263959392</v>
      </c>
      <c r="AC72" s="106">
        <f t="shared" si="34"/>
        <v>60.215430477157362</v>
      </c>
      <c r="AD72" s="106">
        <f t="shared" si="1"/>
        <v>19.540106578680206</v>
      </c>
      <c r="AE72" s="106">
        <f t="shared" si="2"/>
        <v>10.102035712335027</v>
      </c>
      <c r="AF72" s="106" t="s">
        <v>97</v>
      </c>
      <c r="AG72" s="129">
        <v>32.83</v>
      </c>
      <c r="AH72" s="106">
        <v>32</v>
      </c>
      <c r="AI72" s="130">
        <v>40.64</v>
      </c>
      <c r="AJ72" s="130">
        <v>42.88</v>
      </c>
      <c r="AK72" s="130">
        <v>45.44</v>
      </c>
      <c r="AL72" s="106">
        <f t="shared" si="68"/>
        <v>42.213333333333331</v>
      </c>
      <c r="AM72" s="106">
        <f t="shared" si="81"/>
        <v>318.74865866666659</v>
      </c>
      <c r="AN72" s="106" t="s">
        <v>184</v>
      </c>
      <c r="AO72" s="106">
        <v>8</v>
      </c>
      <c r="AP72" s="106">
        <v>0.1</v>
      </c>
      <c r="AQ72" s="106">
        <f>AO72*AP72*AG72</f>
        <v>26.263999999999999</v>
      </c>
      <c r="AR72" s="106">
        <f t="shared" si="71"/>
        <v>345.0126586666666</v>
      </c>
      <c r="AS72" s="106" t="s">
        <v>187</v>
      </c>
      <c r="AT72" s="106">
        <v>52.25</v>
      </c>
      <c r="AU72" s="106">
        <v>3.2</v>
      </c>
      <c r="AV72" s="106">
        <f t="shared" si="82"/>
        <v>16.233559466666666</v>
      </c>
      <c r="AW72" s="106">
        <v>50000</v>
      </c>
      <c r="AX72" s="106">
        <v>23</v>
      </c>
      <c r="AY72" s="106" t="s">
        <v>196</v>
      </c>
      <c r="AZ72" s="106">
        <v>5000</v>
      </c>
      <c r="BA72" s="106">
        <v>10</v>
      </c>
      <c r="BB72" s="106">
        <f t="shared" si="83"/>
        <v>23</v>
      </c>
      <c r="BC72" s="106">
        <v>48.62</v>
      </c>
      <c r="BD72" s="106">
        <v>17.510000000000002</v>
      </c>
      <c r="BE72" s="129">
        <f>1293.01/2</f>
        <v>646.505</v>
      </c>
      <c r="BF72" s="106">
        <v>5.19</v>
      </c>
      <c r="BG72" s="106"/>
      <c r="BH72" s="149">
        <f t="shared" si="74"/>
        <v>1381.2155978287647</v>
      </c>
      <c r="BI72" s="106">
        <f t="shared" si="5"/>
        <v>39.877768527918789</v>
      </c>
      <c r="BJ72" s="149">
        <f t="shared" si="79"/>
        <v>1431.1954020690184</v>
      </c>
      <c r="BK72" s="154">
        <f t="shared" si="80"/>
        <v>1361.6754912500844</v>
      </c>
      <c r="BL72" s="62"/>
      <c r="BM72" s="62"/>
      <c r="BN72" s="62"/>
      <c r="BO72" s="39"/>
      <c r="BS72" s="48"/>
    </row>
    <row r="73" spans="1:71" ht="63">
      <c r="A73" s="40" t="s">
        <v>158</v>
      </c>
      <c r="B73" s="68" t="s">
        <v>316</v>
      </c>
      <c r="C73" s="68" t="s">
        <v>357</v>
      </c>
      <c r="D73" s="52" t="s">
        <v>336</v>
      </c>
      <c r="E73" s="10">
        <v>5</v>
      </c>
      <c r="F73" s="52">
        <v>63.5</v>
      </c>
      <c r="G73" s="52">
        <v>0</v>
      </c>
      <c r="H73" s="54">
        <f t="shared" si="57"/>
        <v>0</v>
      </c>
      <c r="I73" s="52"/>
      <c r="J73" s="52">
        <f t="shared" si="58"/>
        <v>0</v>
      </c>
      <c r="K73" s="52"/>
      <c r="L73" s="52">
        <f t="shared" si="59"/>
        <v>0</v>
      </c>
      <c r="M73" s="52"/>
      <c r="N73" s="52">
        <v>25</v>
      </c>
      <c r="O73" s="52">
        <f t="shared" si="60"/>
        <v>15.875</v>
      </c>
      <c r="P73" s="52"/>
      <c r="Q73" s="52"/>
      <c r="R73" s="52">
        <v>40</v>
      </c>
      <c r="S73" s="52">
        <f t="shared" si="61"/>
        <v>31.75</v>
      </c>
      <c r="T73" s="52">
        <v>30</v>
      </c>
      <c r="U73" s="52">
        <f t="shared" si="62"/>
        <v>33.337499999999999</v>
      </c>
      <c r="V73" s="52">
        <v>30</v>
      </c>
      <c r="W73" s="52">
        <f t="shared" si="63"/>
        <v>33.337499999999999</v>
      </c>
      <c r="X73" s="106">
        <f t="shared" si="64"/>
        <v>177.8</v>
      </c>
      <c r="Y73" s="106">
        <f t="shared" si="56"/>
        <v>1.5228426395939085</v>
      </c>
      <c r="Z73" s="106">
        <f t="shared" si="84"/>
        <v>7.62</v>
      </c>
      <c r="AA73" s="106">
        <f t="shared" si="66"/>
        <v>12.446000000000002</v>
      </c>
      <c r="AB73" s="106">
        <f t="shared" si="67"/>
        <v>199.38884263959392</v>
      </c>
      <c r="AC73" s="106">
        <f t="shared" si="34"/>
        <v>60.215430477157362</v>
      </c>
      <c r="AD73" s="106">
        <f t="shared" si="1"/>
        <v>19.540106578680206</v>
      </c>
      <c r="AE73" s="106">
        <f t="shared" si="2"/>
        <v>10.102035712335027</v>
      </c>
      <c r="AF73" s="106" t="s">
        <v>97</v>
      </c>
      <c r="AG73" s="129">
        <v>32.83</v>
      </c>
      <c r="AH73" s="106">
        <v>25</v>
      </c>
      <c r="AI73" s="130">
        <v>31.75</v>
      </c>
      <c r="AJ73" s="130">
        <v>33.5</v>
      </c>
      <c r="AK73" s="130">
        <v>35.5</v>
      </c>
      <c r="AL73" s="106">
        <f t="shared" si="68"/>
        <v>32.979166666666664</v>
      </c>
      <c r="AM73" s="106">
        <f t="shared" si="81"/>
        <v>249.02238958333331</v>
      </c>
      <c r="AN73" s="106" t="s">
        <v>184</v>
      </c>
      <c r="AO73" s="106">
        <v>8</v>
      </c>
      <c r="AP73" s="106">
        <v>0.1</v>
      </c>
      <c r="AQ73" s="106">
        <f>AO73*AP73*AG73</f>
        <v>26.263999999999999</v>
      </c>
      <c r="AR73" s="106">
        <f t="shared" si="71"/>
        <v>275.28638958333329</v>
      </c>
      <c r="AS73" s="106" t="s">
        <v>187</v>
      </c>
      <c r="AT73" s="106">
        <v>52.25</v>
      </c>
      <c r="AU73" s="106">
        <v>3.2</v>
      </c>
      <c r="AV73" s="106">
        <f t="shared" si="82"/>
        <v>12.682468333333333</v>
      </c>
      <c r="AW73" s="106">
        <v>50000</v>
      </c>
      <c r="AX73" s="106">
        <v>23</v>
      </c>
      <c r="AY73" s="106" t="s">
        <v>196</v>
      </c>
      <c r="AZ73" s="106">
        <v>5000</v>
      </c>
      <c r="BA73" s="106">
        <v>10</v>
      </c>
      <c r="BB73" s="106">
        <f>AZ73*BA73/AW73*AX73</f>
        <v>23</v>
      </c>
      <c r="BC73" s="106">
        <v>48.62</v>
      </c>
      <c r="BD73" s="106">
        <v>17.510000000000002</v>
      </c>
      <c r="BE73" s="129">
        <f>1293.34/2</f>
        <v>646.66999999999996</v>
      </c>
      <c r="BF73" s="106">
        <v>5.19</v>
      </c>
      <c r="BG73" s="106"/>
      <c r="BH73" s="149">
        <f>AB73+AC73+AD73+AR73+AV73+BB73+BC73+BD73+BE73+BF73+BG73</f>
        <v>1308.1032376120979</v>
      </c>
      <c r="BI73" s="106">
        <f t="shared" si="5"/>
        <v>39.877768527918789</v>
      </c>
      <c r="BJ73" s="149">
        <f t="shared" si="79"/>
        <v>1358.0830418523517</v>
      </c>
      <c r="BK73" s="154">
        <f>BH73-AD73</f>
        <v>1288.5631310334177</v>
      </c>
      <c r="BL73" s="62"/>
      <c r="BM73" s="62"/>
      <c r="BN73" s="62"/>
      <c r="BO73" s="39"/>
      <c r="BS73" s="48"/>
    </row>
    <row r="74" spans="1:71" ht="63">
      <c r="A74" s="40" t="s">
        <v>160</v>
      </c>
      <c r="B74" s="68" t="s">
        <v>318</v>
      </c>
      <c r="C74" s="68" t="s">
        <v>358</v>
      </c>
      <c r="D74" s="52" t="s">
        <v>336</v>
      </c>
      <c r="E74" s="10">
        <v>5</v>
      </c>
      <c r="F74" s="52">
        <v>63.5</v>
      </c>
      <c r="G74" s="52">
        <v>0</v>
      </c>
      <c r="H74" s="54">
        <f t="shared" si="57"/>
        <v>0</v>
      </c>
      <c r="I74" s="52"/>
      <c r="J74" s="52">
        <f t="shared" si="58"/>
        <v>0</v>
      </c>
      <c r="K74" s="52"/>
      <c r="L74" s="52">
        <f t="shared" si="59"/>
        <v>0</v>
      </c>
      <c r="M74" s="52"/>
      <c r="N74" s="52">
        <v>25</v>
      </c>
      <c r="O74" s="52">
        <f t="shared" si="60"/>
        <v>15.875</v>
      </c>
      <c r="P74" s="52"/>
      <c r="Q74" s="52"/>
      <c r="R74" s="52">
        <v>40</v>
      </c>
      <c r="S74" s="52">
        <f t="shared" si="61"/>
        <v>31.75</v>
      </c>
      <c r="T74" s="52">
        <v>30</v>
      </c>
      <c r="U74" s="52">
        <f t="shared" si="62"/>
        <v>33.337499999999999</v>
      </c>
      <c r="V74" s="52">
        <v>30</v>
      </c>
      <c r="W74" s="52">
        <f t="shared" si="63"/>
        <v>33.337499999999999</v>
      </c>
      <c r="X74" s="106">
        <f t="shared" si="64"/>
        <v>177.8</v>
      </c>
      <c r="Y74" s="106">
        <f t="shared" si="56"/>
        <v>1.5228426395939085</v>
      </c>
      <c r="Z74" s="106">
        <f t="shared" si="84"/>
        <v>7.62</v>
      </c>
      <c r="AA74" s="106">
        <f t="shared" si="66"/>
        <v>12.446000000000002</v>
      </c>
      <c r="AB74" s="106">
        <f t="shared" si="67"/>
        <v>199.38884263959392</v>
      </c>
      <c r="AC74" s="106">
        <f t="shared" si="34"/>
        <v>60.215430477157362</v>
      </c>
      <c r="AD74" s="106">
        <f t="shared" si="1"/>
        <v>19.540106578680206</v>
      </c>
      <c r="AE74" s="106">
        <f t="shared" si="2"/>
        <v>10.102035712335027</v>
      </c>
      <c r="AF74" s="106" t="s">
        <v>97</v>
      </c>
      <c r="AG74" s="129">
        <v>32.83</v>
      </c>
      <c r="AH74" s="106">
        <v>32</v>
      </c>
      <c r="AI74" s="130">
        <v>40.64</v>
      </c>
      <c r="AJ74" s="130">
        <v>42.88</v>
      </c>
      <c r="AK74" s="130">
        <v>45.44</v>
      </c>
      <c r="AL74" s="106">
        <f t="shared" si="68"/>
        <v>42.213333333333331</v>
      </c>
      <c r="AM74" s="106">
        <f t="shared" si="81"/>
        <v>318.74865866666659</v>
      </c>
      <c r="AN74" s="106" t="s">
        <v>184</v>
      </c>
      <c r="AO74" s="106">
        <v>8</v>
      </c>
      <c r="AP74" s="106">
        <v>0.1</v>
      </c>
      <c r="AQ74" s="106">
        <f>AO74*AP74*AG74</f>
        <v>26.263999999999999</v>
      </c>
      <c r="AR74" s="106">
        <f t="shared" si="71"/>
        <v>345.0126586666666</v>
      </c>
      <c r="AS74" s="106" t="s">
        <v>187</v>
      </c>
      <c r="AT74" s="106">
        <v>52.25</v>
      </c>
      <c r="AU74" s="106">
        <v>3.2</v>
      </c>
      <c r="AV74" s="106">
        <f t="shared" si="82"/>
        <v>16.233559466666666</v>
      </c>
      <c r="AW74" s="106">
        <v>50000</v>
      </c>
      <c r="AX74" s="106">
        <v>23</v>
      </c>
      <c r="AY74" s="106" t="s">
        <v>196</v>
      </c>
      <c r="AZ74" s="106">
        <v>5000</v>
      </c>
      <c r="BA74" s="106">
        <v>10</v>
      </c>
      <c r="BB74" s="106">
        <f>AZ74*BA74/AW74*AX74</f>
        <v>23</v>
      </c>
      <c r="BC74" s="106">
        <v>48.62</v>
      </c>
      <c r="BD74" s="106">
        <v>17.510000000000002</v>
      </c>
      <c r="BE74" s="129">
        <f>1293.01/2</f>
        <v>646.505</v>
      </c>
      <c r="BF74" s="106">
        <v>5.19</v>
      </c>
      <c r="BG74" s="106"/>
      <c r="BH74" s="149">
        <f>AB74+AC74+AD74+AR74+AV74+BB74+BC74+BD74+BE74+BF74+BG74</f>
        <v>1381.2155978287647</v>
      </c>
      <c r="BI74" s="106">
        <f t="shared" si="5"/>
        <v>39.877768527918789</v>
      </c>
      <c r="BJ74" s="149">
        <f t="shared" si="79"/>
        <v>1431.1954020690184</v>
      </c>
      <c r="BK74" s="154">
        <f>BH74-AD74</f>
        <v>1361.6754912500844</v>
      </c>
      <c r="BL74" s="62"/>
      <c r="BM74" s="62"/>
      <c r="BN74" s="62"/>
      <c r="BO74" s="39"/>
      <c r="BS74" s="48"/>
    </row>
    <row r="75" spans="1:71" ht="78.75">
      <c r="A75" s="40" t="s">
        <v>161</v>
      </c>
      <c r="B75" s="68" t="s">
        <v>359</v>
      </c>
      <c r="C75" s="68" t="s">
        <v>360</v>
      </c>
      <c r="D75" s="52" t="s">
        <v>336</v>
      </c>
      <c r="E75" s="10">
        <v>5</v>
      </c>
      <c r="F75" s="52">
        <v>63.5</v>
      </c>
      <c r="G75" s="52">
        <v>0</v>
      </c>
      <c r="H75" s="52">
        <f t="shared" si="57"/>
        <v>0</v>
      </c>
      <c r="I75" s="52"/>
      <c r="J75" s="52">
        <f t="shared" si="58"/>
        <v>0</v>
      </c>
      <c r="K75" s="52"/>
      <c r="L75" s="52">
        <f t="shared" si="59"/>
        <v>0</v>
      </c>
      <c r="M75" s="52"/>
      <c r="N75" s="52">
        <v>25</v>
      </c>
      <c r="O75" s="52">
        <f t="shared" si="60"/>
        <v>15.875</v>
      </c>
      <c r="P75" s="52"/>
      <c r="Q75" s="52"/>
      <c r="R75" s="52">
        <v>40</v>
      </c>
      <c r="S75" s="52">
        <f t="shared" si="61"/>
        <v>31.75</v>
      </c>
      <c r="T75" s="52">
        <v>30</v>
      </c>
      <c r="U75" s="52">
        <f t="shared" si="62"/>
        <v>33.337499999999999</v>
      </c>
      <c r="V75" s="52">
        <v>30</v>
      </c>
      <c r="W75" s="52">
        <f t="shared" si="63"/>
        <v>33.337499999999999</v>
      </c>
      <c r="X75" s="106">
        <f t="shared" si="64"/>
        <v>177.8</v>
      </c>
      <c r="Y75" s="106">
        <f t="shared" si="56"/>
        <v>1.5228426395939085</v>
      </c>
      <c r="Z75" s="106">
        <f t="shared" si="84"/>
        <v>7.62</v>
      </c>
      <c r="AA75" s="106">
        <f t="shared" si="66"/>
        <v>12.446000000000002</v>
      </c>
      <c r="AB75" s="106">
        <f t="shared" si="67"/>
        <v>199.38884263959392</v>
      </c>
      <c r="AC75" s="106">
        <f t="shared" si="34"/>
        <v>60.215430477157362</v>
      </c>
      <c r="AD75" s="106">
        <f t="shared" si="1"/>
        <v>19.540106578680206</v>
      </c>
      <c r="AE75" s="106">
        <f t="shared" si="2"/>
        <v>10.102035712335027</v>
      </c>
      <c r="AF75" s="106" t="s">
        <v>97</v>
      </c>
      <c r="AG75" s="129">
        <v>32.83</v>
      </c>
      <c r="AH75" s="106">
        <v>32</v>
      </c>
      <c r="AI75" s="130">
        <v>43.84</v>
      </c>
      <c r="AJ75" s="130">
        <v>46.080000000000005</v>
      </c>
      <c r="AK75" s="130">
        <v>48.64</v>
      </c>
      <c r="AL75" s="106">
        <f t="shared" si="68"/>
        <v>45.413333333333334</v>
      </c>
      <c r="AM75" s="106">
        <f t="shared" si="81"/>
        <v>342.91153866666662</v>
      </c>
      <c r="AN75" s="106" t="s">
        <v>378</v>
      </c>
      <c r="AO75" s="106">
        <v>6.4</v>
      </c>
      <c r="AP75" s="106">
        <v>0.4</v>
      </c>
      <c r="AQ75" s="106">
        <f t="shared" ref="AQ75:AQ83" si="85">AG75*AO75*AP75</f>
        <v>84.044800000000009</v>
      </c>
      <c r="AR75" s="106">
        <f t="shared" si="71"/>
        <v>426.95633866666662</v>
      </c>
      <c r="AS75" s="106" t="s">
        <v>187</v>
      </c>
      <c r="AT75" s="106">
        <v>52.25</v>
      </c>
      <c r="AU75" s="106">
        <v>3.2</v>
      </c>
      <c r="AV75" s="106">
        <f t="shared" si="82"/>
        <v>17.464151466666667</v>
      </c>
      <c r="AW75" s="106">
        <v>50000</v>
      </c>
      <c r="AX75" s="106">
        <v>23</v>
      </c>
      <c r="AY75" s="106" t="s">
        <v>196</v>
      </c>
      <c r="AZ75" s="106">
        <v>5000</v>
      </c>
      <c r="BA75" s="106">
        <v>10</v>
      </c>
      <c r="BB75" s="106">
        <f>AZ75*BA75/AW75*AX75</f>
        <v>23</v>
      </c>
      <c r="BC75" s="106">
        <v>48.62</v>
      </c>
      <c r="BD75" s="106">
        <v>17.510000000000002</v>
      </c>
      <c r="BE75" s="106">
        <v>732.57</v>
      </c>
      <c r="BF75" s="106">
        <v>5.19</v>
      </c>
      <c r="BG75" s="106"/>
      <c r="BH75" s="149">
        <f>AB75+AC75+AD75+AR75+AV75+BB75+BC75+BD75+BE75+BF75+BG75</f>
        <v>1550.4548698287649</v>
      </c>
      <c r="BI75" s="106">
        <f t="shared" si="5"/>
        <v>39.877768527918789</v>
      </c>
      <c r="BJ75" s="149">
        <f t="shared" si="79"/>
        <v>1600.4346740690187</v>
      </c>
      <c r="BK75" s="154">
        <f>BH75-AD75</f>
        <v>1530.9147632500847</v>
      </c>
      <c r="BL75" s="62"/>
      <c r="BM75" s="62"/>
      <c r="BN75" s="62"/>
      <c r="BO75" s="39"/>
      <c r="BS75" s="48"/>
    </row>
    <row r="76" spans="1:71" ht="78.75">
      <c r="A76" s="40" t="s">
        <v>162</v>
      </c>
      <c r="B76" s="68" t="s">
        <v>359</v>
      </c>
      <c r="C76" s="68" t="s">
        <v>361</v>
      </c>
      <c r="D76" s="52" t="s">
        <v>336</v>
      </c>
      <c r="E76" s="10">
        <v>5</v>
      </c>
      <c r="F76" s="52">
        <v>63.5</v>
      </c>
      <c r="G76" s="52">
        <v>0</v>
      </c>
      <c r="H76" s="52">
        <f t="shared" si="57"/>
        <v>0</v>
      </c>
      <c r="I76" s="52"/>
      <c r="J76" s="52">
        <f t="shared" si="58"/>
        <v>0</v>
      </c>
      <c r="K76" s="52"/>
      <c r="L76" s="52">
        <f t="shared" si="59"/>
        <v>0</v>
      </c>
      <c r="M76" s="52"/>
      <c r="N76" s="52">
        <v>25</v>
      </c>
      <c r="O76" s="52">
        <f t="shared" si="60"/>
        <v>15.875</v>
      </c>
      <c r="P76" s="52"/>
      <c r="Q76" s="52"/>
      <c r="R76" s="52">
        <v>40</v>
      </c>
      <c r="S76" s="52">
        <f t="shared" si="61"/>
        <v>31.75</v>
      </c>
      <c r="T76" s="52">
        <v>30</v>
      </c>
      <c r="U76" s="52">
        <f t="shared" si="62"/>
        <v>33.337499999999999</v>
      </c>
      <c r="V76" s="52">
        <v>30</v>
      </c>
      <c r="W76" s="52">
        <f t="shared" si="63"/>
        <v>33.337499999999999</v>
      </c>
      <c r="X76" s="106">
        <f t="shared" si="64"/>
        <v>177.8</v>
      </c>
      <c r="Y76" s="106">
        <f t="shared" ref="Y76:Y102" si="86">3000/1970</f>
        <v>1.5228426395939085</v>
      </c>
      <c r="Z76" s="106">
        <f t="shared" si="84"/>
        <v>7.62</v>
      </c>
      <c r="AA76" s="106">
        <f t="shared" si="66"/>
        <v>12.446000000000002</v>
      </c>
      <c r="AB76" s="106">
        <f t="shared" si="67"/>
        <v>199.38884263959392</v>
      </c>
      <c r="AC76" s="106">
        <f t="shared" si="34"/>
        <v>60.215430477157362</v>
      </c>
      <c r="AD76" s="106">
        <f t="shared" ref="AD76:AD106" si="87">AB76*0.098</f>
        <v>19.540106578680206</v>
      </c>
      <c r="AE76" s="106">
        <f t="shared" ref="AE76:AE106" si="88">AB76*1.0133*0.05</f>
        <v>10.102035712335027</v>
      </c>
      <c r="AF76" s="106" t="s">
        <v>97</v>
      </c>
      <c r="AG76" s="129">
        <v>32.83</v>
      </c>
      <c r="AH76" s="106">
        <v>32</v>
      </c>
      <c r="AI76" s="130">
        <v>43.84</v>
      </c>
      <c r="AJ76" s="130">
        <v>46.080000000000005</v>
      </c>
      <c r="AK76" s="130">
        <v>48.64</v>
      </c>
      <c r="AL76" s="106">
        <f t="shared" si="68"/>
        <v>45.413333333333334</v>
      </c>
      <c r="AM76" s="106">
        <f t="shared" si="81"/>
        <v>342.91153866666662</v>
      </c>
      <c r="AN76" s="106" t="s">
        <v>378</v>
      </c>
      <c r="AO76" s="106">
        <v>6.4</v>
      </c>
      <c r="AP76" s="106">
        <v>0.4</v>
      </c>
      <c r="AQ76" s="106">
        <f t="shared" si="85"/>
        <v>84.044800000000009</v>
      </c>
      <c r="AR76" s="106">
        <f t="shared" si="71"/>
        <v>426.95633866666662</v>
      </c>
      <c r="AS76" s="106" t="s">
        <v>187</v>
      </c>
      <c r="AT76" s="106">
        <v>52.25</v>
      </c>
      <c r="AU76" s="106">
        <v>3.2</v>
      </c>
      <c r="AV76" s="106">
        <f t="shared" si="82"/>
        <v>17.464151466666667</v>
      </c>
      <c r="AW76" s="106">
        <v>50000</v>
      </c>
      <c r="AX76" s="106">
        <v>23</v>
      </c>
      <c r="AY76" s="106" t="s">
        <v>196</v>
      </c>
      <c r="AZ76" s="106">
        <v>5000</v>
      </c>
      <c r="BA76" s="106">
        <v>10</v>
      </c>
      <c r="BB76" s="106">
        <f>AZ76*BA76/AW76*AX76</f>
        <v>23</v>
      </c>
      <c r="BC76" s="106">
        <v>48.62</v>
      </c>
      <c r="BD76" s="106">
        <v>17.510000000000002</v>
      </c>
      <c r="BE76" s="106">
        <v>732.57</v>
      </c>
      <c r="BF76" s="106">
        <v>5.19</v>
      </c>
      <c r="BG76" s="106"/>
      <c r="BH76" s="149">
        <f>AB76+AC76+AD76+AR76+AV76+BB76+BC76+BD76+BE76+BF76+BG76</f>
        <v>1550.4548698287649</v>
      </c>
      <c r="BI76" s="106">
        <f t="shared" ref="BI76:BI106" si="89">AB76*0.2</f>
        <v>39.877768527918789</v>
      </c>
      <c r="BJ76" s="149">
        <f t="shared" si="79"/>
        <v>1600.4346740690187</v>
      </c>
      <c r="BK76" s="154">
        <f>BH76-AD76</f>
        <v>1530.9147632500847</v>
      </c>
      <c r="BL76" s="62"/>
      <c r="BM76" s="62"/>
      <c r="BN76" s="62"/>
      <c r="BO76" s="39"/>
      <c r="BS76" s="48"/>
    </row>
    <row r="77" spans="1:71" ht="78.75">
      <c r="A77" s="40" t="s">
        <v>159</v>
      </c>
      <c r="B77" s="52" t="s">
        <v>380</v>
      </c>
      <c r="C77" s="52" t="s">
        <v>381</v>
      </c>
      <c r="D77" s="52" t="s">
        <v>336</v>
      </c>
      <c r="E77" s="10">
        <v>5</v>
      </c>
      <c r="F77" s="52">
        <v>63.5</v>
      </c>
      <c r="G77" s="52">
        <v>0</v>
      </c>
      <c r="H77" s="52">
        <f t="shared" si="57"/>
        <v>0</v>
      </c>
      <c r="I77" s="52">
        <v>0</v>
      </c>
      <c r="J77" s="52">
        <f t="shared" si="58"/>
        <v>0</v>
      </c>
      <c r="K77" s="52"/>
      <c r="L77" s="52">
        <f t="shared" si="59"/>
        <v>0</v>
      </c>
      <c r="M77" s="52"/>
      <c r="N77" s="52">
        <v>25</v>
      </c>
      <c r="O77" s="52">
        <f t="shared" si="60"/>
        <v>15.875</v>
      </c>
      <c r="P77" s="52"/>
      <c r="Q77" s="52"/>
      <c r="R77" s="52">
        <v>40</v>
      </c>
      <c r="S77" s="52">
        <f t="shared" si="61"/>
        <v>31.75</v>
      </c>
      <c r="T77" s="52">
        <v>30</v>
      </c>
      <c r="U77" s="52">
        <f t="shared" si="62"/>
        <v>33.337499999999999</v>
      </c>
      <c r="V77" s="52">
        <v>30</v>
      </c>
      <c r="W77" s="52">
        <f t="shared" si="63"/>
        <v>33.337499999999999</v>
      </c>
      <c r="X77" s="106">
        <f t="shared" si="64"/>
        <v>177.8</v>
      </c>
      <c r="Y77" s="106">
        <f t="shared" si="86"/>
        <v>1.5228426395939085</v>
      </c>
      <c r="Z77" s="106">
        <f t="shared" ref="Z77:Z83" si="90">X77*0.06</f>
        <v>10.668000000000001</v>
      </c>
      <c r="AA77" s="106">
        <f t="shared" si="66"/>
        <v>12.446000000000002</v>
      </c>
      <c r="AB77" s="106">
        <f t="shared" si="67"/>
        <v>202.43684263959392</v>
      </c>
      <c r="AC77" s="106">
        <f t="shared" si="34"/>
        <v>61.135926477157362</v>
      </c>
      <c r="AD77" s="106">
        <f t="shared" si="87"/>
        <v>19.838810578680206</v>
      </c>
      <c r="AE77" s="106">
        <f t="shared" si="88"/>
        <v>10.256462632335028</v>
      </c>
      <c r="AF77" s="106" t="s">
        <v>102</v>
      </c>
      <c r="AG77" s="129">
        <v>32.83</v>
      </c>
      <c r="AH77" s="106">
        <v>24.4</v>
      </c>
      <c r="AI77" s="130">
        <v>30.987999999999996</v>
      </c>
      <c r="AJ77" s="130">
        <v>32.695999999999998</v>
      </c>
      <c r="AK77" s="130">
        <v>34.647999999999989</v>
      </c>
      <c r="AL77" s="106">
        <f t="shared" si="68"/>
        <v>32.187666666666665</v>
      </c>
      <c r="AM77" s="106">
        <f t="shared" si="81"/>
        <v>243.04585223333331</v>
      </c>
      <c r="AN77" s="106" t="s">
        <v>184</v>
      </c>
      <c r="AO77" s="106">
        <v>15.14</v>
      </c>
      <c r="AP77" s="106">
        <v>0.2</v>
      </c>
      <c r="AQ77" s="106">
        <f t="shared" si="85"/>
        <v>99.409240000000011</v>
      </c>
      <c r="AR77" s="106">
        <f t="shared" si="71"/>
        <v>342.45509223333329</v>
      </c>
      <c r="AS77" s="106"/>
      <c r="AT77" s="106"/>
      <c r="AU77" s="106"/>
      <c r="AV77" s="106">
        <v>0</v>
      </c>
      <c r="AW77" s="106">
        <v>50000</v>
      </c>
      <c r="AX77" s="106">
        <v>23</v>
      </c>
      <c r="AY77" s="106" t="s">
        <v>384</v>
      </c>
      <c r="AZ77" s="106">
        <v>10105</v>
      </c>
      <c r="BA77" s="106">
        <v>10</v>
      </c>
      <c r="BB77" s="106">
        <f>AZ77*BA77/AW77*AX77</f>
        <v>46.482999999999997</v>
      </c>
      <c r="BC77" s="106">
        <v>48.62</v>
      </c>
      <c r="BD77" s="106">
        <v>17.510000000000002</v>
      </c>
      <c r="BE77" s="129">
        <f>18830000/37*12/1970/2</f>
        <v>1550.0068596515298</v>
      </c>
      <c r="BF77" s="106">
        <v>5.19</v>
      </c>
      <c r="BG77" s="106"/>
      <c r="BH77" s="149">
        <f>AB77+AC77+AD77+AR77+AV77+BB77+BC77+BD77+BE77+BF77+BG77</f>
        <v>2293.6765315802945</v>
      </c>
      <c r="BI77" s="106">
        <f t="shared" si="89"/>
        <v>40.48736852791879</v>
      </c>
      <c r="BJ77" s="149">
        <f t="shared" si="79"/>
        <v>2344.4203627405486</v>
      </c>
      <c r="BK77" s="154">
        <f>BH77-AD77</f>
        <v>2273.8377210016142</v>
      </c>
      <c r="BL77" s="62"/>
      <c r="BM77" s="62"/>
      <c r="BN77" s="62"/>
      <c r="BO77" s="39"/>
      <c r="BS77" s="48"/>
    </row>
    <row r="78" spans="1:71" ht="78.75">
      <c r="A78" s="40" t="s">
        <v>163</v>
      </c>
      <c r="B78" s="52" t="s">
        <v>279</v>
      </c>
      <c r="C78" s="52" t="s">
        <v>3</v>
      </c>
      <c r="D78" s="52" t="s">
        <v>336</v>
      </c>
      <c r="E78" s="52">
        <v>5</v>
      </c>
      <c r="F78" s="52">
        <v>63.5</v>
      </c>
      <c r="G78" s="52">
        <v>6</v>
      </c>
      <c r="H78" s="54">
        <f t="shared" si="57"/>
        <v>3.81</v>
      </c>
      <c r="I78" s="52">
        <v>10</v>
      </c>
      <c r="J78" s="52">
        <f t="shared" si="58"/>
        <v>6.35</v>
      </c>
      <c r="K78" s="52"/>
      <c r="L78" s="52">
        <f t="shared" si="59"/>
        <v>0</v>
      </c>
      <c r="M78" s="52"/>
      <c r="N78" s="52">
        <v>25</v>
      </c>
      <c r="O78" s="52">
        <f t="shared" si="60"/>
        <v>15.875</v>
      </c>
      <c r="P78" s="52"/>
      <c r="Q78" s="52"/>
      <c r="R78" s="52">
        <v>40</v>
      </c>
      <c r="S78" s="52">
        <f t="shared" si="61"/>
        <v>35.813999999999993</v>
      </c>
      <c r="T78" s="52">
        <v>30</v>
      </c>
      <c r="U78" s="52">
        <f t="shared" si="62"/>
        <v>37.604700000000001</v>
      </c>
      <c r="V78" s="52">
        <v>30</v>
      </c>
      <c r="W78" s="52">
        <f t="shared" si="63"/>
        <v>37.604700000000001</v>
      </c>
      <c r="X78" s="106">
        <f t="shared" si="64"/>
        <v>200.55840000000001</v>
      </c>
      <c r="Y78" s="106">
        <f t="shared" si="86"/>
        <v>1.5228426395939085</v>
      </c>
      <c r="Z78" s="106">
        <f t="shared" si="90"/>
        <v>12.033504000000001</v>
      </c>
      <c r="AA78" s="106">
        <f t="shared" si="66"/>
        <v>14.039088000000001</v>
      </c>
      <c r="AB78" s="106">
        <f t="shared" si="67"/>
        <v>228.1538346395939</v>
      </c>
      <c r="AC78" s="106">
        <f t="shared" si="34"/>
        <v>68.902458061157361</v>
      </c>
      <c r="AD78" s="106">
        <f t="shared" si="87"/>
        <v>22.359075794680201</v>
      </c>
      <c r="AE78" s="106">
        <f t="shared" si="88"/>
        <v>11.559414032015027</v>
      </c>
      <c r="AF78" s="106" t="s">
        <v>100</v>
      </c>
      <c r="AG78" s="129">
        <v>32.5</v>
      </c>
      <c r="AH78" s="106">
        <v>31.61</v>
      </c>
      <c r="AI78" s="130">
        <v>41.093000000000004</v>
      </c>
      <c r="AJ78" s="130">
        <v>43.305700000000009</v>
      </c>
      <c r="AK78" s="130">
        <v>45.834499999999998</v>
      </c>
      <c r="AL78" s="106">
        <f t="shared" si="68"/>
        <v>42.64715833333333</v>
      </c>
      <c r="AM78" s="106">
        <f t="shared" si="81"/>
        <v>318.78750854166663</v>
      </c>
      <c r="AN78" s="106" t="s">
        <v>184</v>
      </c>
      <c r="AO78" s="106">
        <v>8.5500000000000007</v>
      </c>
      <c r="AP78" s="106">
        <v>0.2</v>
      </c>
      <c r="AQ78" s="106">
        <f t="shared" si="85"/>
        <v>55.575000000000003</v>
      </c>
      <c r="AR78" s="106">
        <f t="shared" si="71"/>
        <v>374.36250854166661</v>
      </c>
      <c r="AS78" s="106"/>
      <c r="AT78" s="106"/>
      <c r="AU78" s="106"/>
      <c r="AV78" s="106">
        <v>0</v>
      </c>
      <c r="AW78" s="106">
        <v>50000</v>
      </c>
      <c r="AX78" s="106">
        <v>23</v>
      </c>
      <c r="AY78" s="106"/>
      <c r="AZ78" s="106"/>
      <c r="BA78" s="106"/>
      <c r="BB78" s="106">
        <f t="shared" si="83"/>
        <v>0</v>
      </c>
      <c r="BC78" s="106">
        <v>48.62</v>
      </c>
      <c r="BD78" s="106">
        <v>17.510000000000002</v>
      </c>
      <c r="BE78" s="106">
        <f>504.63</f>
        <v>504.63</v>
      </c>
      <c r="BF78" s="106">
        <v>5.19</v>
      </c>
      <c r="BG78" s="106"/>
      <c r="BH78" s="149">
        <f t="shared" ref="BH78:BH83" si="91">AB78+AC78+AD78+AR78+AV78+BB78+BC78+BD78+BE78+BF78</f>
        <v>1269.7278770370981</v>
      </c>
      <c r="BI78" s="106">
        <f t="shared" si="89"/>
        <v>45.630766927918785</v>
      </c>
      <c r="BJ78" s="149">
        <f t="shared" si="79"/>
        <v>1326.9180579970318</v>
      </c>
      <c r="BK78" s="154">
        <f t="shared" si="80"/>
        <v>1247.3688012424179</v>
      </c>
      <c r="BL78" s="62"/>
      <c r="BM78" s="62"/>
      <c r="BN78" s="62"/>
      <c r="BO78" s="39"/>
      <c r="BS78" s="48"/>
    </row>
    <row r="79" spans="1:71" ht="78.75">
      <c r="A79" s="40" t="s">
        <v>164</v>
      </c>
      <c r="B79" s="55" t="s">
        <v>230</v>
      </c>
      <c r="C79" s="52" t="s">
        <v>449</v>
      </c>
      <c r="D79" s="52" t="s">
        <v>336</v>
      </c>
      <c r="E79" s="52">
        <v>4</v>
      </c>
      <c r="F79" s="53">
        <v>70.55</v>
      </c>
      <c r="G79" s="52">
        <v>0</v>
      </c>
      <c r="H79" s="54">
        <f t="shared" ref="H79:H84" si="92">F79*G79/100</f>
        <v>0</v>
      </c>
      <c r="I79" s="52"/>
      <c r="J79" s="52">
        <f t="shared" ref="J79:J84" si="93">F79*I79/100</f>
        <v>0</v>
      </c>
      <c r="K79" s="52">
        <v>0</v>
      </c>
      <c r="L79" s="52">
        <f t="shared" ref="L79:L84" si="94">F79*K79/100</f>
        <v>0</v>
      </c>
      <c r="M79" s="52">
        <v>0</v>
      </c>
      <c r="N79" s="52">
        <v>0</v>
      </c>
      <c r="O79" s="52">
        <f t="shared" ref="O79:O84" si="95">F79*N79/100</f>
        <v>0</v>
      </c>
      <c r="P79" s="52"/>
      <c r="Q79" s="52"/>
      <c r="R79" s="52">
        <v>40</v>
      </c>
      <c r="S79" s="52">
        <f t="shared" ref="S79:S84" si="96">(F79+H79+J79+L79+M79+O79+Q79)*R79/100</f>
        <v>28.22</v>
      </c>
      <c r="T79" s="52">
        <v>30</v>
      </c>
      <c r="U79" s="52">
        <f t="shared" ref="U79:U84" si="97">(F79+H79+J79+L79+M79+O79+Q79+S79)*30/100</f>
        <v>29.631</v>
      </c>
      <c r="V79" s="52">
        <v>30</v>
      </c>
      <c r="W79" s="52">
        <f t="shared" ref="W79:W84" si="98">U79</f>
        <v>29.631</v>
      </c>
      <c r="X79" s="106">
        <f t="shared" ref="X79:X84" si="99">F79+H79+J79+L79+M79+O79+Q79+S79+U79+W79</f>
        <v>158.03200000000001</v>
      </c>
      <c r="Y79" s="106">
        <f t="shared" si="86"/>
        <v>1.5228426395939085</v>
      </c>
      <c r="Z79" s="106">
        <f t="shared" si="90"/>
        <v>9.4819200000000006</v>
      </c>
      <c r="AA79" s="106">
        <f t="shared" ref="AA79:AA84" si="100">X79*0.07</f>
        <v>11.062240000000001</v>
      </c>
      <c r="AB79" s="106">
        <f t="shared" ref="AB79:AB84" si="101">X79+Y79+Z79+AA79</f>
        <v>180.09900263959392</v>
      </c>
      <c r="AC79" s="106">
        <f t="shared" si="34"/>
        <v>54.389898797157365</v>
      </c>
      <c r="AD79" s="106">
        <f t="shared" si="87"/>
        <v>17.649702258680204</v>
      </c>
      <c r="AE79" s="106">
        <f t="shared" si="88"/>
        <v>9.1247159687350266</v>
      </c>
      <c r="AF79" s="106" t="s">
        <v>97</v>
      </c>
      <c r="AG79" s="129">
        <v>32.83</v>
      </c>
      <c r="AH79" s="130">
        <v>27.32</v>
      </c>
      <c r="AI79" s="130">
        <v>34.700000000000003</v>
      </c>
      <c r="AJ79" s="130">
        <v>36.608800000000002</v>
      </c>
      <c r="AK79" s="130">
        <v>38.794400000000003</v>
      </c>
      <c r="AL79" s="106">
        <f t="shared" ref="AL79:AL84" si="102">(AI79*7+AJ79*2+AK79*3)/12</f>
        <v>36.041733333333333</v>
      </c>
      <c r="AM79" s="106">
        <f t="shared" si="81"/>
        <v>272.14752422666663</v>
      </c>
      <c r="AN79" s="106" t="s">
        <v>252</v>
      </c>
      <c r="AO79" s="106">
        <v>6.4</v>
      </c>
      <c r="AP79" s="106">
        <v>0.4</v>
      </c>
      <c r="AQ79" s="106">
        <f t="shared" si="85"/>
        <v>84.044800000000009</v>
      </c>
      <c r="AR79" s="106">
        <f t="shared" ref="AR79:AR84" si="103">AM79+AQ79</f>
        <v>356.19232422666664</v>
      </c>
      <c r="AS79" s="106" t="s">
        <v>187</v>
      </c>
      <c r="AT79" s="106">
        <v>52.25</v>
      </c>
      <c r="AU79" s="106">
        <v>3.48</v>
      </c>
      <c r="AV79" s="106">
        <f t="shared" ref="AV79:AV84" si="104">AU79/100*AL79*0.23*AT79</f>
        <v>15.072977255600001</v>
      </c>
      <c r="AW79" s="106">
        <v>50000</v>
      </c>
      <c r="AX79" s="106">
        <v>23</v>
      </c>
      <c r="AY79" s="106" t="s">
        <v>195</v>
      </c>
      <c r="AZ79" s="106">
        <v>7523.73</v>
      </c>
      <c r="BA79" s="106">
        <v>10</v>
      </c>
      <c r="BB79" s="106">
        <f t="shared" si="83"/>
        <v>34.609157999999994</v>
      </c>
      <c r="BC79" s="106">
        <v>48.62</v>
      </c>
      <c r="BD79" s="106">
        <v>17.510000000000002</v>
      </c>
      <c r="BE79" s="106">
        <v>620.76</v>
      </c>
      <c r="BF79" s="106">
        <v>5.19</v>
      </c>
      <c r="BG79" s="106"/>
      <c r="BH79" s="149">
        <f t="shared" si="91"/>
        <v>1350.0930631776982</v>
      </c>
      <c r="BI79" s="106">
        <f t="shared" si="89"/>
        <v>36.019800527918783</v>
      </c>
      <c r="BJ79" s="149">
        <f t="shared" ref="BJ79:BJ84" si="105">BH79+AE79+BI79</f>
        <v>1395.237579674352</v>
      </c>
      <c r="BK79" s="154">
        <f t="shared" si="80"/>
        <v>1332.443360919018</v>
      </c>
      <c r="BL79" s="62"/>
      <c r="BM79" s="62"/>
      <c r="BN79" s="62"/>
      <c r="BO79" s="39"/>
      <c r="BS79" s="48"/>
    </row>
    <row r="80" spans="1:71" ht="78.75">
      <c r="A80" s="40" t="s">
        <v>165</v>
      </c>
      <c r="B80" s="55" t="s">
        <v>230</v>
      </c>
      <c r="C80" s="52" t="s">
        <v>450</v>
      </c>
      <c r="D80" s="52" t="s">
        <v>336</v>
      </c>
      <c r="E80" s="52">
        <v>4</v>
      </c>
      <c r="F80" s="53">
        <v>70.55</v>
      </c>
      <c r="G80" s="52">
        <v>0</v>
      </c>
      <c r="H80" s="54">
        <f t="shared" si="92"/>
        <v>0</v>
      </c>
      <c r="I80" s="52"/>
      <c r="J80" s="52">
        <f t="shared" si="93"/>
        <v>0</v>
      </c>
      <c r="K80" s="52">
        <v>0</v>
      </c>
      <c r="L80" s="52">
        <f t="shared" si="94"/>
        <v>0</v>
      </c>
      <c r="M80" s="52">
        <v>0</v>
      </c>
      <c r="N80" s="52">
        <v>0</v>
      </c>
      <c r="O80" s="52">
        <f t="shared" si="95"/>
        <v>0</v>
      </c>
      <c r="P80" s="52"/>
      <c r="Q80" s="52"/>
      <c r="R80" s="52">
        <v>40</v>
      </c>
      <c r="S80" s="52">
        <f t="shared" si="96"/>
        <v>28.22</v>
      </c>
      <c r="T80" s="52">
        <v>30</v>
      </c>
      <c r="U80" s="52">
        <f t="shared" si="97"/>
        <v>29.631</v>
      </c>
      <c r="V80" s="52">
        <v>30</v>
      </c>
      <c r="W80" s="52">
        <f t="shared" si="98"/>
        <v>29.631</v>
      </c>
      <c r="X80" s="106">
        <f t="shared" si="99"/>
        <v>158.03200000000001</v>
      </c>
      <c r="Y80" s="106">
        <f t="shared" si="86"/>
        <v>1.5228426395939085</v>
      </c>
      <c r="Z80" s="106">
        <f t="shared" si="90"/>
        <v>9.4819200000000006</v>
      </c>
      <c r="AA80" s="106">
        <f t="shared" si="100"/>
        <v>11.062240000000001</v>
      </c>
      <c r="AB80" s="106">
        <f t="shared" si="101"/>
        <v>180.09900263959392</v>
      </c>
      <c r="AC80" s="106">
        <f t="shared" ref="AC80:AC106" si="106">AB80*0.302</f>
        <v>54.389898797157365</v>
      </c>
      <c r="AD80" s="106">
        <f t="shared" si="87"/>
        <v>17.649702258680204</v>
      </c>
      <c r="AE80" s="106">
        <f t="shared" si="88"/>
        <v>9.1247159687350266</v>
      </c>
      <c r="AF80" s="106" t="s">
        <v>97</v>
      </c>
      <c r="AG80" s="129">
        <v>32.83</v>
      </c>
      <c r="AH80" s="130">
        <v>27.32</v>
      </c>
      <c r="AI80" s="130">
        <v>34.700000000000003</v>
      </c>
      <c r="AJ80" s="130">
        <v>36.608800000000002</v>
      </c>
      <c r="AK80" s="130">
        <v>38.794400000000003</v>
      </c>
      <c r="AL80" s="106">
        <f t="shared" si="102"/>
        <v>36.041733333333333</v>
      </c>
      <c r="AM80" s="106">
        <f t="shared" si="81"/>
        <v>272.14752422666663</v>
      </c>
      <c r="AN80" s="106" t="s">
        <v>252</v>
      </c>
      <c r="AO80" s="106">
        <v>6.4</v>
      </c>
      <c r="AP80" s="106">
        <v>0.4</v>
      </c>
      <c r="AQ80" s="106">
        <f t="shared" si="85"/>
        <v>84.044800000000009</v>
      </c>
      <c r="AR80" s="106">
        <f t="shared" si="103"/>
        <v>356.19232422666664</v>
      </c>
      <c r="AS80" s="106" t="s">
        <v>187</v>
      </c>
      <c r="AT80" s="106">
        <v>52.25</v>
      </c>
      <c r="AU80" s="106">
        <v>3.48</v>
      </c>
      <c r="AV80" s="106">
        <f t="shared" si="104"/>
        <v>15.072977255600001</v>
      </c>
      <c r="AW80" s="106">
        <v>50000</v>
      </c>
      <c r="AX80" s="106">
        <v>23</v>
      </c>
      <c r="AY80" s="106" t="s">
        <v>195</v>
      </c>
      <c r="AZ80" s="106">
        <v>7523.73</v>
      </c>
      <c r="BA80" s="106">
        <v>10</v>
      </c>
      <c r="BB80" s="106">
        <f t="shared" si="83"/>
        <v>34.609157999999994</v>
      </c>
      <c r="BC80" s="106">
        <v>48.62</v>
      </c>
      <c r="BD80" s="106">
        <v>17.510000000000002</v>
      </c>
      <c r="BE80" s="106">
        <v>620.76</v>
      </c>
      <c r="BF80" s="106">
        <v>5.19</v>
      </c>
      <c r="BG80" s="106"/>
      <c r="BH80" s="149">
        <f t="shared" si="91"/>
        <v>1350.0930631776982</v>
      </c>
      <c r="BI80" s="106">
        <f t="shared" si="89"/>
        <v>36.019800527918783</v>
      </c>
      <c r="BJ80" s="149">
        <f t="shared" si="105"/>
        <v>1395.237579674352</v>
      </c>
      <c r="BK80" s="154">
        <f t="shared" si="80"/>
        <v>1332.443360919018</v>
      </c>
      <c r="BL80" s="62"/>
      <c r="BM80" s="62"/>
      <c r="BN80" s="62"/>
      <c r="BO80" s="39"/>
      <c r="BS80" s="48"/>
    </row>
    <row r="81" spans="1:71" ht="78.75">
      <c r="A81" s="40" t="s">
        <v>166</v>
      </c>
      <c r="B81" s="52" t="s">
        <v>285</v>
      </c>
      <c r="C81" s="52" t="s">
        <v>295</v>
      </c>
      <c r="D81" s="52" t="s">
        <v>336</v>
      </c>
      <c r="E81" s="52">
        <v>5</v>
      </c>
      <c r="F81" s="52">
        <v>63.5</v>
      </c>
      <c r="G81" s="52">
        <v>0</v>
      </c>
      <c r="H81" s="54">
        <f t="shared" si="92"/>
        <v>0</v>
      </c>
      <c r="I81" s="52"/>
      <c r="J81" s="52">
        <f t="shared" si="93"/>
        <v>0</v>
      </c>
      <c r="K81" s="52">
        <v>0</v>
      </c>
      <c r="L81" s="52">
        <f t="shared" si="94"/>
        <v>0</v>
      </c>
      <c r="M81" s="52">
        <v>0</v>
      </c>
      <c r="N81" s="52">
        <v>25</v>
      </c>
      <c r="O81" s="52">
        <f t="shared" si="95"/>
        <v>15.875</v>
      </c>
      <c r="P81" s="52"/>
      <c r="Q81" s="52"/>
      <c r="R81" s="52">
        <v>40</v>
      </c>
      <c r="S81" s="52">
        <f t="shared" si="96"/>
        <v>31.75</v>
      </c>
      <c r="T81" s="52">
        <v>30</v>
      </c>
      <c r="U81" s="52">
        <f t="shared" si="97"/>
        <v>33.337499999999999</v>
      </c>
      <c r="V81" s="52">
        <v>30</v>
      </c>
      <c r="W81" s="52">
        <f t="shared" si="98"/>
        <v>33.337499999999999</v>
      </c>
      <c r="X81" s="106">
        <f t="shared" si="99"/>
        <v>177.8</v>
      </c>
      <c r="Y81" s="106">
        <f t="shared" si="86"/>
        <v>1.5228426395939085</v>
      </c>
      <c r="Z81" s="106">
        <f t="shared" si="90"/>
        <v>10.668000000000001</v>
      </c>
      <c r="AA81" s="106">
        <f t="shared" si="100"/>
        <v>12.446000000000002</v>
      </c>
      <c r="AB81" s="106">
        <f t="shared" si="101"/>
        <v>202.43684263959392</v>
      </c>
      <c r="AC81" s="106">
        <f t="shared" si="106"/>
        <v>61.135926477157362</v>
      </c>
      <c r="AD81" s="106">
        <f t="shared" si="87"/>
        <v>19.838810578680206</v>
      </c>
      <c r="AE81" s="106">
        <f t="shared" si="88"/>
        <v>10.256462632335028</v>
      </c>
      <c r="AF81" s="106" t="s">
        <v>97</v>
      </c>
      <c r="AG81" s="129">
        <v>32.83</v>
      </c>
      <c r="AH81" s="106">
        <v>25</v>
      </c>
      <c r="AI81" s="130">
        <v>28</v>
      </c>
      <c r="AJ81" s="130">
        <v>29.96</v>
      </c>
      <c r="AK81" s="130">
        <v>32.200000000000003</v>
      </c>
      <c r="AL81" s="106">
        <f t="shared" si="102"/>
        <v>29.376666666666669</v>
      </c>
      <c r="AM81" s="106">
        <f t="shared" si="81"/>
        <v>221.82027233333332</v>
      </c>
      <c r="AN81" s="106" t="s">
        <v>286</v>
      </c>
      <c r="AO81" s="106">
        <v>6.29</v>
      </c>
      <c r="AP81" s="106">
        <v>0.4</v>
      </c>
      <c r="AQ81" s="106">
        <f t="shared" si="85"/>
        <v>82.600279999999998</v>
      </c>
      <c r="AR81" s="106">
        <f t="shared" si="103"/>
        <v>304.42055233333332</v>
      </c>
      <c r="AS81" s="106" t="s">
        <v>287</v>
      </c>
      <c r="AT81" s="106">
        <v>63.49</v>
      </c>
      <c r="AU81" s="106">
        <v>0.6</v>
      </c>
      <c r="AV81" s="106">
        <f t="shared" si="104"/>
        <v>2.5738719020000005</v>
      </c>
      <c r="AW81" s="106">
        <v>50000</v>
      </c>
      <c r="AX81" s="106">
        <v>23</v>
      </c>
      <c r="AY81" s="106" t="s">
        <v>288</v>
      </c>
      <c r="AZ81" s="106">
        <v>7056.78</v>
      </c>
      <c r="BA81" s="106">
        <v>5</v>
      </c>
      <c r="BB81" s="106">
        <f t="shared" si="83"/>
        <v>16.230594</v>
      </c>
      <c r="BC81" s="106">
        <v>48.62</v>
      </c>
      <c r="BD81" s="106">
        <v>17.510000000000002</v>
      </c>
      <c r="BE81" s="129">
        <v>357</v>
      </c>
      <c r="BF81" s="106">
        <v>5.19</v>
      </c>
      <c r="BG81" s="106"/>
      <c r="BH81" s="149">
        <f t="shared" si="91"/>
        <v>1034.9565979307649</v>
      </c>
      <c r="BI81" s="106">
        <f t="shared" si="89"/>
        <v>40.48736852791879</v>
      </c>
      <c r="BJ81" s="149">
        <f t="shared" si="105"/>
        <v>1085.7004290910188</v>
      </c>
      <c r="BK81" s="154">
        <f t="shared" si="80"/>
        <v>1015.1177873520847</v>
      </c>
      <c r="BL81" s="62"/>
      <c r="BM81" s="62"/>
      <c r="BN81" s="62"/>
      <c r="BO81" s="39"/>
      <c r="BS81" s="48"/>
    </row>
    <row r="82" spans="1:71" ht="78.75">
      <c r="A82" s="40" t="s">
        <v>167</v>
      </c>
      <c r="B82" s="52" t="s">
        <v>285</v>
      </c>
      <c r="C82" s="52" t="s">
        <v>297</v>
      </c>
      <c r="D82" s="52" t="s">
        <v>336</v>
      </c>
      <c r="E82" s="52">
        <v>5</v>
      </c>
      <c r="F82" s="52">
        <v>63.5</v>
      </c>
      <c r="G82" s="52">
        <v>0</v>
      </c>
      <c r="H82" s="54">
        <f t="shared" si="92"/>
        <v>0</v>
      </c>
      <c r="I82" s="52"/>
      <c r="J82" s="52">
        <f t="shared" si="93"/>
        <v>0</v>
      </c>
      <c r="K82" s="52">
        <v>0</v>
      </c>
      <c r="L82" s="52">
        <f t="shared" si="94"/>
        <v>0</v>
      </c>
      <c r="M82" s="52">
        <v>0</v>
      </c>
      <c r="N82" s="52">
        <v>25</v>
      </c>
      <c r="O82" s="52">
        <f t="shared" si="95"/>
        <v>15.875</v>
      </c>
      <c r="P82" s="52"/>
      <c r="Q82" s="52"/>
      <c r="R82" s="52">
        <v>40</v>
      </c>
      <c r="S82" s="52">
        <f t="shared" si="96"/>
        <v>31.75</v>
      </c>
      <c r="T82" s="52">
        <v>30</v>
      </c>
      <c r="U82" s="52">
        <f t="shared" si="97"/>
        <v>33.337499999999999</v>
      </c>
      <c r="V82" s="52">
        <v>30</v>
      </c>
      <c r="W82" s="52">
        <f t="shared" si="98"/>
        <v>33.337499999999999</v>
      </c>
      <c r="X82" s="106">
        <f t="shared" si="99"/>
        <v>177.8</v>
      </c>
      <c r="Y82" s="106">
        <f t="shared" si="86"/>
        <v>1.5228426395939085</v>
      </c>
      <c r="Z82" s="106">
        <f t="shared" si="90"/>
        <v>10.668000000000001</v>
      </c>
      <c r="AA82" s="106">
        <f t="shared" si="100"/>
        <v>12.446000000000002</v>
      </c>
      <c r="AB82" s="106">
        <f t="shared" si="101"/>
        <v>202.43684263959392</v>
      </c>
      <c r="AC82" s="106">
        <f t="shared" si="106"/>
        <v>61.135926477157362</v>
      </c>
      <c r="AD82" s="106">
        <f t="shared" si="87"/>
        <v>19.838810578680206</v>
      </c>
      <c r="AE82" s="106">
        <f t="shared" si="88"/>
        <v>10.256462632335028</v>
      </c>
      <c r="AF82" s="106" t="s">
        <v>97</v>
      </c>
      <c r="AG82" s="129">
        <v>32.83</v>
      </c>
      <c r="AH82" s="106">
        <v>25</v>
      </c>
      <c r="AI82" s="130">
        <v>31.75</v>
      </c>
      <c r="AJ82" s="130">
        <v>33.5</v>
      </c>
      <c r="AK82" s="130">
        <v>35.5</v>
      </c>
      <c r="AL82" s="106">
        <f t="shared" si="102"/>
        <v>32.979166666666664</v>
      </c>
      <c r="AM82" s="106">
        <f t="shared" si="81"/>
        <v>249.02238958333331</v>
      </c>
      <c r="AN82" s="106" t="s">
        <v>286</v>
      </c>
      <c r="AO82" s="106">
        <v>6.29</v>
      </c>
      <c r="AP82" s="106">
        <v>0.4</v>
      </c>
      <c r="AQ82" s="106">
        <f t="shared" si="85"/>
        <v>82.600279999999998</v>
      </c>
      <c r="AR82" s="106">
        <f t="shared" si="103"/>
        <v>331.62266958333328</v>
      </c>
      <c r="AS82" s="106" t="s">
        <v>287</v>
      </c>
      <c r="AT82" s="106">
        <v>63.49</v>
      </c>
      <c r="AU82" s="106">
        <v>0.6</v>
      </c>
      <c r="AV82" s="106">
        <f t="shared" si="104"/>
        <v>2.8895092625000003</v>
      </c>
      <c r="AW82" s="106">
        <v>50000</v>
      </c>
      <c r="AX82" s="106">
        <v>23</v>
      </c>
      <c r="AY82" s="106" t="s">
        <v>288</v>
      </c>
      <c r="AZ82" s="106">
        <v>7056.78</v>
      </c>
      <c r="BA82" s="106">
        <v>5</v>
      </c>
      <c r="BB82" s="106">
        <f t="shared" si="83"/>
        <v>16.230594</v>
      </c>
      <c r="BC82" s="106">
        <v>48.62</v>
      </c>
      <c r="BD82" s="106">
        <v>17.510000000000002</v>
      </c>
      <c r="BE82" s="129">
        <v>357</v>
      </c>
      <c r="BF82" s="106">
        <v>5.19</v>
      </c>
      <c r="BG82" s="106"/>
      <c r="BH82" s="149">
        <f t="shared" si="91"/>
        <v>1062.4743525412648</v>
      </c>
      <c r="BI82" s="106">
        <f t="shared" si="89"/>
        <v>40.48736852791879</v>
      </c>
      <c r="BJ82" s="149">
        <f t="shared" si="105"/>
        <v>1113.2181837015187</v>
      </c>
      <c r="BK82" s="154">
        <f t="shared" si="80"/>
        <v>1042.6355419625845</v>
      </c>
      <c r="BL82" s="62"/>
      <c r="BM82" s="62"/>
      <c r="BN82" s="62"/>
      <c r="BO82" s="39"/>
      <c r="BS82" s="48"/>
    </row>
    <row r="83" spans="1:71" ht="78.75">
      <c r="A83" s="40" t="s">
        <v>168</v>
      </c>
      <c r="B83" s="52" t="s">
        <v>285</v>
      </c>
      <c r="C83" s="52" t="s">
        <v>298</v>
      </c>
      <c r="D83" s="52" t="s">
        <v>336</v>
      </c>
      <c r="E83" s="52">
        <v>5</v>
      </c>
      <c r="F83" s="52">
        <v>63.5</v>
      </c>
      <c r="G83" s="52">
        <v>0</v>
      </c>
      <c r="H83" s="54">
        <f t="shared" si="92"/>
        <v>0</v>
      </c>
      <c r="I83" s="52"/>
      <c r="J83" s="52">
        <f t="shared" si="93"/>
        <v>0</v>
      </c>
      <c r="K83" s="52">
        <v>0</v>
      </c>
      <c r="L83" s="52">
        <f t="shared" si="94"/>
        <v>0</v>
      </c>
      <c r="M83" s="52">
        <v>0</v>
      </c>
      <c r="N83" s="52">
        <v>25</v>
      </c>
      <c r="O83" s="52">
        <f t="shared" si="95"/>
        <v>15.875</v>
      </c>
      <c r="P83" s="52"/>
      <c r="Q83" s="52"/>
      <c r="R83" s="52">
        <v>40</v>
      </c>
      <c r="S83" s="52">
        <f t="shared" si="96"/>
        <v>31.75</v>
      </c>
      <c r="T83" s="52">
        <v>30</v>
      </c>
      <c r="U83" s="52">
        <f t="shared" si="97"/>
        <v>33.337499999999999</v>
      </c>
      <c r="V83" s="52">
        <v>30</v>
      </c>
      <c r="W83" s="52">
        <f t="shared" si="98"/>
        <v>33.337499999999999</v>
      </c>
      <c r="X83" s="106">
        <f t="shared" si="99"/>
        <v>177.8</v>
      </c>
      <c r="Y83" s="106">
        <f t="shared" si="86"/>
        <v>1.5228426395939085</v>
      </c>
      <c r="Z83" s="106">
        <f t="shared" si="90"/>
        <v>10.668000000000001</v>
      </c>
      <c r="AA83" s="106">
        <f t="shared" si="100"/>
        <v>12.446000000000002</v>
      </c>
      <c r="AB83" s="106">
        <f t="shared" si="101"/>
        <v>202.43684263959392</v>
      </c>
      <c r="AC83" s="106">
        <f t="shared" si="106"/>
        <v>61.135926477157362</v>
      </c>
      <c r="AD83" s="106">
        <f t="shared" si="87"/>
        <v>19.838810578680206</v>
      </c>
      <c r="AE83" s="106">
        <f t="shared" si="88"/>
        <v>10.256462632335028</v>
      </c>
      <c r="AF83" s="106" t="s">
        <v>97</v>
      </c>
      <c r="AG83" s="129">
        <v>32.83</v>
      </c>
      <c r="AH83" s="106">
        <v>25</v>
      </c>
      <c r="AI83" s="130">
        <v>31.75</v>
      </c>
      <c r="AJ83" s="130">
        <v>33.5</v>
      </c>
      <c r="AK83" s="130">
        <v>35.5</v>
      </c>
      <c r="AL83" s="106">
        <f t="shared" si="102"/>
        <v>32.979166666666664</v>
      </c>
      <c r="AM83" s="106">
        <f t="shared" si="81"/>
        <v>249.02238958333331</v>
      </c>
      <c r="AN83" s="106" t="s">
        <v>286</v>
      </c>
      <c r="AO83" s="106">
        <v>6.29</v>
      </c>
      <c r="AP83" s="106">
        <v>0.4</v>
      </c>
      <c r="AQ83" s="106">
        <f t="shared" si="85"/>
        <v>82.600279999999998</v>
      </c>
      <c r="AR83" s="106">
        <f t="shared" si="103"/>
        <v>331.62266958333328</v>
      </c>
      <c r="AS83" s="106" t="s">
        <v>287</v>
      </c>
      <c r="AT83" s="106">
        <v>63.49</v>
      </c>
      <c r="AU83" s="106">
        <v>0.6</v>
      </c>
      <c r="AV83" s="106">
        <f t="shared" si="104"/>
        <v>2.8895092625000003</v>
      </c>
      <c r="AW83" s="106">
        <v>50000</v>
      </c>
      <c r="AX83" s="106">
        <v>23</v>
      </c>
      <c r="AY83" s="106" t="s">
        <v>288</v>
      </c>
      <c r="AZ83" s="106">
        <v>7056.78</v>
      </c>
      <c r="BA83" s="106">
        <v>5</v>
      </c>
      <c r="BB83" s="106">
        <f t="shared" si="83"/>
        <v>16.230594</v>
      </c>
      <c r="BC83" s="106">
        <v>48.62</v>
      </c>
      <c r="BD83" s="106">
        <v>17.510000000000002</v>
      </c>
      <c r="BE83" s="129">
        <v>357</v>
      </c>
      <c r="BF83" s="106">
        <v>5.19</v>
      </c>
      <c r="BG83" s="106"/>
      <c r="BH83" s="149">
        <f t="shared" si="91"/>
        <v>1062.4743525412648</v>
      </c>
      <c r="BI83" s="106">
        <f t="shared" si="89"/>
        <v>40.48736852791879</v>
      </c>
      <c r="BJ83" s="149">
        <f t="shared" si="105"/>
        <v>1113.2181837015187</v>
      </c>
      <c r="BK83" s="154">
        <f t="shared" si="80"/>
        <v>1042.6355419625845</v>
      </c>
      <c r="BL83" s="62"/>
      <c r="BM83" s="62"/>
      <c r="BN83" s="62"/>
      <c r="BO83" s="39"/>
      <c r="BS83" s="48"/>
    </row>
    <row r="84" spans="1:71" ht="77.25" customHeight="1">
      <c r="A84" s="40" t="s">
        <v>169</v>
      </c>
      <c r="B84" s="52" t="s">
        <v>455</v>
      </c>
      <c r="C84" s="52" t="s">
        <v>456</v>
      </c>
      <c r="D84" s="52" t="s">
        <v>336</v>
      </c>
      <c r="E84" s="52">
        <v>5</v>
      </c>
      <c r="F84" s="52">
        <v>63.5</v>
      </c>
      <c r="G84" s="52">
        <v>0</v>
      </c>
      <c r="H84" s="54">
        <f t="shared" si="92"/>
        <v>0</v>
      </c>
      <c r="I84" s="52"/>
      <c r="J84" s="52">
        <f t="shared" si="93"/>
        <v>0</v>
      </c>
      <c r="K84" s="52">
        <v>0</v>
      </c>
      <c r="L84" s="52">
        <f t="shared" si="94"/>
        <v>0</v>
      </c>
      <c r="M84" s="52">
        <v>0</v>
      </c>
      <c r="N84" s="52">
        <v>25</v>
      </c>
      <c r="O84" s="52">
        <f t="shared" si="95"/>
        <v>15.875</v>
      </c>
      <c r="P84" s="52"/>
      <c r="Q84" s="52"/>
      <c r="R84" s="52">
        <v>40</v>
      </c>
      <c r="S84" s="52">
        <f t="shared" si="96"/>
        <v>31.75</v>
      </c>
      <c r="T84" s="52">
        <v>30</v>
      </c>
      <c r="U84" s="52">
        <f t="shared" si="97"/>
        <v>33.337499999999999</v>
      </c>
      <c r="V84" s="52">
        <v>30</v>
      </c>
      <c r="W84" s="52">
        <f t="shared" si="98"/>
        <v>33.337499999999999</v>
      </c>
      <c r="X84" s="106">
        <f t="shared" si="99"/>
        <v>177.8</v>
      </c>
      <c r="Y84" s="106">
        <f>3000/1970</f>
        <v>1.5228426395939085</v>
      </c>
      <c r="Z84" s="106">
        <f>X84*0.06</f>
        <v>10.668000000000001</v>
      </c>
      <c r="AA84" s="106">
        <f t="shared" si="100"/>
        <v>12.446000000000002</v>
      </c>
      <c r="AB84" s="106">
        <f t="shared" si="101"/>
        <v>202.43684263959392</v>
      </c>
      <c r="AC84" s="106">
        <f t="shared" si="106"/>
        <v>61.135926477157362</v>
      </c>
      <c r="AD84" s="106">
        <f t="shared" si="87"/>
        <v>19.838810578680206</v>
      </c>
      <c r="AE84" s="106">
        <f t="shared" si="88"/>
        <v>10.256462632335028</v>
      </c>
      <c r="AF84" s="106" t="s">
        <v>97</v>
      </c>
      <c r="AG84" s="129">
        <v>32.83</v>
      </c>
      <c r="AH84" s="106">
        <v>25</v>
      </c>
      <c r="AI84" s="130">
        <v>31.75</v>
      </c>
      <c r="AJ84" s="130">
        <v>33.5</v>
      </c>
      <c r="AK84" s="130">
        <v>35.5</v>
      </c>
      <c r="AL84" s="106">
        <f t="shared" si="102"/>
        <v>32.979166666666664</v>
      </c>
      <c r="AM84" s="106">
        <f>AG84*AL84/100*23</f>
        <v>249.02238958333331</v>
      </c>
      <c r="AN84" s="106" t="s">
        <v>286</v>
      </c>
      <c r="AO84" s="106">
        <v>6.29</v>
      </c>
      <c r="AP84" s="106">
        <v>0.4</v>
      </c>
      <c r="AQ84" s="106">
        <f>AG84*AO84*AP84</f>
        <v>82.600279999999998</v>
      </c>
      <c r="AR84" s="106">
        <f t="shared" si="103"/>
        <v>331.62266958333328</v>
      </c>
      <c r="AS84" s="106" t="s">
        <v>287</v>
      </c>
      <c r="AT84" s="106">
        <v>63.49</v>
      </c>
      <c r="AU84" s="106">
        <v>0.6</v>
      </c>
      <c r="AV84" s="106">
        <f t="shared" si="104"/>
        <v>2.8895092625000003</v>
      </c>
      <c r="AW84" s="106">
        <v>50000</v>
      </c>
      <c r="AX84" s="106">
        <v>23</v>
      </c>
      <c r="AY84" s="106" t="s">
        <v>288</v>
      </c>
      <c r="AZ84" s="106">
        <v>7056.78</v>
      </c>
      <c r="BA84" s="106">
        <v>5</v>
      </c>
      <c r="BB84" s="106">
        <f>AZ84*BA84/AW84*AX84</f>
        <v>16.230594</v>
      </c>
      <c r="BC84" s="106">
        <v>48.62</v>
      </c>
      <c r="BD84" s="106">
        <v>17.510000000000002</v>
      </c>
      <c r="BE84" s="129">
        <v>357</v>
      </c>
      <c r="BF84" s="106">
        <v>5.19</v>
      </c>
      <c r="BG84" s="106"/>
      <c r="BH84" s="149">
        <f>AB84+AC84+AD84+AR84+AV84+BB84+BC84+BD84+BE84+BF84</f>
        <v>1062.4743525412648</v>
      </c>
      <c r="BI84" s="106">
        <f t="shared" si="89"/>
        <v>40.48736852791879</v>
      </c>
      <c r="BJ84" s="149">
        <f t="shared" si="105"/>
        <v>1113.2181837015187</v>
      </c>
      <c r="BK84" s="154">
        <f>BH84-AD84</f>
        <v>1042.6355419625845</v>
      </c>
      <c r="BL84" s="62"/>
      <c r="BM84" s="62"/>
      <c r="BN84" s="62"/>
      <c r="BO84" s="39"/>
      <c r="BS84" s="48"/>
    </row>
    <row r="85" spans="1:71" ht="76.5">
      <c r="A85" s="40" t="s">
        <v>170</v>
      </c>
      <c r="B85" s="63" t="s">
        <v>339</v>
      </c>
      <c r="C85" s="16" t="s">
        <v>340</v>
      </c>
      <c r="D85" s="52" t="s">
        <v>336</v>
      </c>
      <c r="E85" s="52">
        <v>4</v>
      </c>
      <c r="F85" s="52">
        <v>56.44</v>
      </c>
      <c r="G85" s="10">
        <v>0</v>
      </c>
      <c r="H85" s="65">
        <f t="shared" ref="H85:H94" si="107">F85*G85/100</f>
        <v>0</v>
      </c>
      <c r="I85" s="10"/>
      <c r="J85" s="10">
        <f t="shared" ref="J85:J94" si="108">F85*I85/100</f>
        <v>0</v>
      </c>
      <c r="K85" s="10"/>
      <c r="L85" s="10">
        <f t="shared" ref="L85:L94" si="109">F85*K85/100</f>
        <v>0</v>
      </c>
      <c r="M85" s="10"/>
      <c r="N85" s="10">
        <v>25</v>
      </c>
      <c r="O85" s="10">
        <f t="shared" ref="O85:O94" si="110">F85*N85/100</f>
        <v>14.11</v>
      </c>
      <c r="P85" s="10"/>
      <c r="Q85" s="10"/>
      <c r="R85" s="10">
        <v>40</v>
      </c>
      <c r="S85" s="10">
        <f t="shared" ref="S85:S94" si="111">(F85+H85+J85+L85+M85+O85+Q85)*R85/100</f>
        <v>28.22</v>
      </c>
      <c r="T85" s="10">
        <v>30</v>
      </c>
      <c r="U85" s="10">
        <f t="shared" ref="U85:U94" si="112">(F85+H85+J85+L85+M85+O85+Q85+S85)*30/100</f>
        <v>29.631</v>
      </c>
      <c r="V85" s="10">
        <v>30</v>
      </c>
      <c r="W85" s="10">
        <f t="shared" ref="W85:W94" si="113">U85</f>
        <v>29.631</v>
      </c>
      <c r="X85" s="66">
        <f t="shared" ref="X85:X94" si="114">F85+H85+J85+L85+M85+O85+Q85+S85+U85+W85</f>
        <v>158.03200000000001</v>
      </c>
      <c r="Y85" s="66">
        <f t="shared" si="86"/>
        <v>1.5228426395939085</v>
      </c>
      <c r="Z85" s="66">
        <f t="shared" ref="Z85:Z94" si="115">X85*0.06</f>
        <v>9.4819200000000006</v>
      </c>
      <c r="AA85" s="66">
        <f t="shared" ref="AA85:AA94" si="116">X85*0.07</f>
        <v>11.062240000000001</v>
      </c>
      <c r="AB85" s="66">
        <f t="shared" ref="AB85:AB94" si="117">X85+Y85+Z85+AA85</f>
        <v>180.09900263959392</v>
      </c>
      <c r="AC85" s="106">
        <f t="shared" si="106"/>
        <v>54.389898797157365</v>
      </c>
      <c r="AD85" s="106">
        <f t="shared" si="87"/>
        <v>17.649702258680204</v>
      </c>
      <c r="AE85" s="106">
        <f t="shared" si="88"/>
        <v>9.1247159687350266</v>
      </c>
      <c r="AF85" s="66" t="s">
        <v>97</v>
      </c>
      <c r="AG85" s="129">
        <v>32.83</v>
      </c>
      <c r="AH85" s="132">
        <v>11.5</v>
      </c>
      <c r="AI85" s="67">
        <v>15.754999999999999</v>
      </c>
      <c r="AJ85" s="67">
        <v>16.559999999999999</v>
      </c>
      <c r="AK85" s="67">
        <v>17.479999999999997</v>
      </c>
      <c r="AL85" s="66">
        <f t="shared" ref="AL85:AL94" si="118">(AI85*7+AJ85*2+AK85*3)/12</f>
        <v>16.320416666666667</v>
      </c>
      <c r="AM85" s="66">
        <f t="shared" si="81"/>
        <v>123.23383420833333</v>
      </c>
      <c r="AN85" s="66"/>
      <c r="AO85" s="66"/>
      <c r="AP85" s="66"/>
      <c r="AQ85" s="66">
        <f t="shared" ref="AQ85:AQ94" si="119">AG85*AO85*AP85</f>
        <v>0</v>
      </c>
      <c r="AR85" s="66">
        <f t="shared" ref="AR85:AR94" si="120">AM85+AQ85</f>
        <v>123.23383420833333</v>
      </c>
      <c r="AS85" s="64" t="s">
        <v>345</v>
      </c>
      <c r="AT85" s="64">
        <v>201.7</v>
      </c>
      <c r="AU85" s="64">
        <v>0.6</v>
      </c>
      <c r="AV85" s="64">
        <f t="shared" ref="AV85:AV94" si="121">AL85/100*23*AU85/100*AT85</f>
        <v>4.5427226974999995</v>
      </c>
      <c r="AW85" s="133">
        <v>50000</v>
      </c>
      <c r="AX85" s="133">
        <v>23</v>
      </c>
      <c r="AY85" s="133" t="s">
        <v>346</v>
      </c>
      <c r="AZ85" s="106" t="s">
        <v>347</v>
      </c>
      <c r="BA85" s="64" t="s">
        <v>348</v>
      </c>
      <c r="BB85" s="133">
        <f t="shared" ref="BB85:BB94" si="122">AX85/AW85*(3995*2+3060*4)</f>
        <v>9.3057999999999996</v>
      </c>
      <c r="BC85" s="106">
        <v>48.62</v>
      </c>
      <c r="BD85" s="106">
        <v>17.510000000000002</v>
      </c>
      <c r="BE85" s="66">
        <v>195.41</v>
      </c>
      <c r="BF85" s="106">
        <v>5.19</v>
      </c>
      <c r="BG85" s="134"/>
      <c r="BH85" s="149">
        <f t="shared" ref="BH85:BH91" si="123">AB85+AC85+AD85+AR85+AV85+BB85+BC85+BD85+BE85+BF85+BG85</f>
        <v>655.9509606012648</v>
      </c>
      <c r="BI85" s="106">
        <f t="shared" si="89"/>
        <v>36.019800527918783</v>
      </c>
      <c r="BJ85" s="149">
        <f t="shared" ref="BJ85:BJ94" si="124">BH85+AE85+BI85</f>
        <v>701.09547709791855</v>
      </c>
      <c r="BK85" s="154">
        <f t="shared" ref="BK85:BK94" si="125">BH85-AD85</f>
        <v>638.30125834258456</v>
      </c>
      <c r="BL85" s="62"/>
      <c r="BM85" s="62"/>
      <c r="BN85" s="62"/>
      <c r="BO85" s="39"/>
      <c r="BS85" s="48"/>
    </row>
    <row r="86" spans="1:71" ht="76.5">
      <c r="A86" s="40" t="s">
        <v>171</v>
      </c>
      <c r="B86" s="63" t="s">
        <v>339</v>
      </c>
      <c r="C86" s="16" t="s">
        <v>341</v>
      </c>
      <c r="D86" s="52" t="s">
        <v>336</v>
      </c>
      <c r="E86" s="52">
        <v>4</v>
      </c>
      <c r="F86" s="52">
        <v>56.44</v>
      </c>
      <c r="G86" s="10">
        <v>0</v>
      </c>
      <c r="H86" s="65">
        <f t="shared" si="107"/>
        <v>0</v>
      </c>
      <c r="I86" s="10"/>
      <c r="J86" s="10">
        <f t="shared" si="108"/>
        <v>0</v>
      </c>
      <c r="K86" s="10"/>
      <c r="L86" s="10">
        <f t="shared" si="109"/>
        <v>0</v>
      </c>
      <c r="M86" s="10"/>
      <c r="N86" s="10">
        <v>25</v>
      </c>
      <c r="O86" s="10">
        <f t="shared" si="110"/>
        <v>14.11</v>
      </c>
      <c r="P86" s="10"/>
      <c r="Q86" s="10"/>
      <c r="R86" s="10">
        <v>40</v>
      </c>
      <c r="S86" s="10">
        <f t="shared" si="111"/>
        <v>28.22</v>
      </c>
      <c r="T86" s="10">
        <v>30</v>
      </c>
      <c r="U86" s="10">
        <f t="shared" si="112"/>
        <v>29.631</v>
      </c>
      <c r="V86" s="10">
        <v>30</v>
      </c>
      <c r="W86" s="10">
        <f t="shared" si="113"/>
        <v>29.631</v>
      </c>
      <c r="X86" s="66">
        <f t="shared" si="114"/>
        <v>158.03200000000001</v>
      </c>
      <c r="Y86" s="66">
        <f t="shared" si="86"/>
        <v>1.5228426395939085</v>
      </c>
      <c r="Z86" s="66">
        <f t="shared" si="115"/>
        <v>9.4819200000000006</v>
      </c>
      <c r="AA86" s="66">
        <f t="shared" si="116"/>
        <v>11.062240000000001</v>
      </c>
      <c r="AB86" s="66">
        <f t="shared" si="117"/>
        <v>180.09900263959392</v>
      </c>
      <c r="AC86" s="106">
        <f t="shared" si="106"/>
        <v>54.389898797157365</v>
      </c>
      <c r="AD86" s="106">
        <f t="shared" si="87"/>
        <v>17.649702258680204</v>
      </c>
      <c r="AE86" s="106">
        <f t="shared" si="88"/>
        <v>9.1247159687350266</v>
      </c>
      <c r="AF86" s="66" t="s">
        <v>97</v>
      </c>
      <c r="AG86" s="129">
        <v>32.83</v>
      </c>
      <c r="AH86" s="132">
        <v>11.5</v>
      </c>
      <c r="AI86" s="67">
        <v>15.754999999999999</v>
      </c>
      <c r="AJ86" s="67">
        <v>16.559999999999999</v>
      </c>
      <c r="AK86" s="67">
        <v>17.479999999999997</v>
      </c>
      <c r="AL86" s="66">
        <f t="shared" si="118"/>
        <v>16.320416666666667</v>
      </c>
      <c r="AM86" s="66">
        <f t="shared" si="81"/>
        <v>123.23383420833333</v>
      </c>
      <c r="AN86" s="66"/>
      <c r="AO86" s="66"/>
      <c r="AP86" s="66"/>
      <c r="AQ86" s="66">
        <f t="shared" si="119"/>
        <v>0</v>
      </c>
      <c r="AR86" s="66">
        <f t="shared" si="120"/>
        <v>123.23383420833333</v>
      </c>
      <c r="AS86" s="64" t="s">
        <v>345</v>
      </c>
      <c r="AT86" s="64">
        <v>201.7</v>
      </c>
      <c r="AU86" s="64">
        <v>0.6</v>
      </c>
      <c r="AV86" s="64">
        <f t="shared" si="121"/>
        <v>4.5427226974999995</v>
      </c>
      <c r="AW86" s="133">
        <v>50000</v>
      </c>
      <c r="AX86" s="133">
        <v>23</v>
      </c>
      <c r="AY86" s="133" t="s">
        <v>346</v>
      </c>
      <c r="AZ86" s="106" t="s">
        <v>347</v>
      </c>
      <c r="BA86" s="64" t="s">
        <v>348</v>
      </c>
      <c r="BB86" s="133">
        <f t="shared" si="122"/>
        <v>9.3057999999999996</v>
      </c>
      <c r="BC86" s="106">
        <v>48.62</v>
      </c>
      <c r="BD86" s="106">
        <v>17.510000000000002</v>
      </c>
      <c r="BE86" s="66">
        <v>195.41</v>
      </c>
      <c r="BF86" s="106">
        <v>5.19</v>
      </c>
      <c r="BG86" s="134"/>
      <c r="BH86" s="149">
        <f t="shared" si="123"/>
        <v>655.9509606012648</v>
      </c>
      <c r="BI86" s="106">
        <f t="shared" si="89"/>
        <v>36.019800527918783</v>
      </c>
      <c r="BJ86" s="149">
        <f t="shared" si="124"/>
        <v>701.09547709791855</v>
      </c>
      <c r="BK86" s="154">
        <f t="shared" si="125"/>
        <v>638.30125834258456</v>
      </c>
      <c r="BL86" s="62"/>
      <c r="BM86" s="62"/>
      <c r="BN86" s="62"/>
      <c r="BO86" s="39"/>
      <c r="BS86" s="48"/>
    </row>
    <row r="87" spans="1:71" ht="76.5">
      <c r="A87" s="40" t="s">
        <v>172</v>
      </c>
      <c r="B87" s="63" t="s">
        <v>339</v>
      </c>
      <c r="C87" s="16" t="s">
        <v>342</v>
      </c>
      <c r="D87" s="52" t="s">
        <v>336</v>
      </c>
      <c r="E87" s="52">
        <v>4</v>
      </c>
      <c r="F87" s="52">
        <v>56.44</v>
      </c>
      <c r="G87" s="10">
        <v>0</v>
      </c>
      <c r="H87" s="65">
        <f t="shared" si="107"/>
        <v>0</v>
      </c>
      <c r="I87" s="10"/>
      <c r="J87" s="10">
        <f t="shared" si="108"/>
        <v>0</v>
      </c>
      <c r="K87" s="10"/>
      <c r="L87" s="10">
        <f t="shared" si="109"/>
        <v>0</v>
      </c>
      <c r="M87" s="10"/>
      <c r="N87" s="10">
        <v>25</v>
      </c>
      <c r="O87" s="10">
        <f t="shared" si="110"/>
        <v>14.11</v>
      </c>
      <c r="P87" s="10"/>
      <c r="Q87" s="10"/>
      <c r="R87" s="10">
        <v>40</v>
      </c>
      <c r="S87" s="10">
        <f t="shared" si="111"/>
        <v>28.22</v>
      </c>
      <c r="T87" s="10">
        <v>30</v>
      </c>
      <c r="U87" s="10">
        <f t="shared" si="112"/>
        <v>29.631</v>
      </c>
      <c r="V87" s="10">
        <v>30</v>
      </c>
      <c r="W87" s="10">
        <f t="shared" si="113"/>
        <v>29.631</v>
      </c>
      <c r="X87" s="66">
        <f t="shared" si="114"/>
        <v>158.03200000000001</v>
      </c>
      <c r="Y87" s="66">
        <f t="shared" si="86"/>
        <v>1.5228426395939085</v>
      </c>
      <c r="Z87" s="66">
        <f t="shared" si="115"/>
        <v>9.4819200000000006</v>
      </c>
      <c r="AA87" s="66">
        <f t="shared" si="116"/>
        <v>11.062240000000001</v>
      </c>
      <c r="AB87" s="66">
        <f t="shared" si="117"/>
        <v>180.09900263959392</v>
      </c>
      <c r="AC87" s="106">
        <f t="shared" si="106"/>
        <v>54.389898797157365</v>
      </c>
      <c r="AD87" s="106">
        <f t="shared" si="87"/>
        <v>17.649702258680204</v>
      </c>
      <c r="AE87" s="106">
        <f t="shared" si="88"/>
        <v>9.1247159687350266</v>
      </c>
      <c r="AF87" s="66" t="s">
        <v>97</v>
      </c>
      <c r="AG87" s="129">
        <v>32.83</v>
      </c>
      <c r="AH87" s="132">
        <v>11.5</v>
      </c>
      <c r="AI87" s="67">
        <v>15.754999999999999</v>
      </c>
      <c r="AJ87" s="67">
        <v>16.559999999999999</v>
      </c>
      <c r="AK87" s="67">
        <v>17.479999999999997</v>
      </c>
      <c r="AL87" s="66">
        <f t="shared" si="118"/>
        <v>16.320416666666667</v>
      </c>
      <c r="AM87" s="66">
        <f t="shared" si="81"/>
        <v>123.23383420833333</v>
      </c>
      <c r="AN87" s="66"/>
      <c r="AO87" s="66"/>
      <c r="AP87" s="66"/>
      <c r="AQ87" s="66">
        <f t="shared" si="119"/>
        <v>0</v>
      </c>
      <c r="AR87" s="66">
        <f t="shared" si="120"/>
        <v>123.23383420833333</v>
      </c>
      <c r="AS87" s="64" t="s">
        <v>345</v>
      </c>
      <c r="AT87" s="64">
        <v>201.7</v>
      </c>
      <c r="AU87" s="64">
        <v>0.6</v>
      </c>
      <c r="AV87" s="64">
        <f t="shared" si="121"/>
        <v>4.5427226974999995</v>
      </c>
      <c r="AW87" s="133">
        <v>50000</v>
      </c>
      <c r="AX87" s="133">
        <v>23</v>
      </c>
      <c r="AY87" s="133" t="s">
        <v>346</v>
      </c>
      <c r="AZ87" s="106" t="s">
        <v>347</v>
      </c>
      <c r="BA87" s="64" t="s">
        <v>348</v>
      </c>
      <c r="BB87" s="133">
        <f t="shared" si="122"/>
        <v>9.3057999999999996</v>
      </c>
      <c r="BC87" s="106">
        <v>48.62</v>
      </c>
      <c r="BD87" s="106">
        <v>17.510000000000002</v>
      </c>
      <c r="BE87" s="66">
        <v>195.41</v>
      </c>
      <c r="BF87" s="106">
        <v>5.19</v>
      </c>
      <c r="BG87" s="134"/>
      <c r="BH87" s="149">
        <f t="shared" si="123"/>
        <v>655.9509606012648</v>
      </c>
      <c r="BI87" s="106">
        <f t="shared" si="89"/>
        <v>36.019800527918783</v>
      </c>
      <c r="BJ87" s="149">
        <f t="shared" si="124"/>
        <v>701.09547709791855</v>
      </c>
      <c r="BK87" s="154">
        <f t="shared" si="125"/>
        <v>638.30125834258456</v>
      </c>
      <c r="BL87" s="62"/>
      <c r="BM87" s="62"/>
      <c r="BN87" s="62"/>
      <c r="BO87" s="39"/>
      <c r="BS87" s="48"/>
    </row>
    <row r="88" spans="1:71" ht="76.5">
      <c r="A88" s="40" t="s">
        <v>173</v>
      </c>
      <c r="B88" s="63" t="s">
        <v>339</v>
      </c>
      <c r="C88" s="16" t="s">
        <v>343</v>
      </c>
      <c r="D88" s="52" t="s">
        <v>336</v>
      </c>
      <c r="E88" s="52">
        <v>4</v>
      </c>
      <c r="F88" s="52">
        <v>56.44</v>
      </c>
      <c r="G88" s="10">
        <v>0</v>
      </c>
      <c r="H88" s="65">
        <f t="shared" si="107"/>
        <v>0</v>
      </c>
      <c r="I88" s="10"/>
      <c r="J88" s="10">
        <f t="shared" si="108"/>
        <v>0</v>
      </c>
      <c r="K88" s="10"/>
      <c r="L88" s="10">
        <f t="shared" si="109"/>
        <v>0</v>
      </c>
      <c r="M88" s="10"/>
      <c r="N88" s="10">
        <v>25</v>
      </c>
      <c r="O88" s="10">
        <f t="shared" si="110"/>
        <v>14.11</v>
      </c>
      <c r="P88" s="10"/>
      <c r="Q88" s="10"/>
      <c r="R88" s="10">
        <v>40</v>
      </c>
      <c r="S88" s="10">
        <f t="shared" si="111"/>
        <v>28.22</v>
      </c>
      <c r="T88" s="10">
        <v>30</v>
      </c>
      <c r="U88" s="10">
        <f t="shared" si="112"/>
        <v>29.631</v>
      </c>
      <c r="V88" s="10">
        <v>30</v>
      </c>
      <c r="W88" s="10">
        <f t="shared" si="113"/>
        <v>29.631</v>
      </c>
      <c r="X88" s="66">
        <f t="shared" si="114"/>
        <v>158.03200000000001</v>
      </c>
      <c r="Y88" s="66">
        <f t="shared" si="86"/>
        <v>1.5228426395939085</v>
      </c>
      <c r="Z88" s="66">
        <f t="shared" si="115"/>
        <v>9.4819200000000006</v>
      </c>
      <c r="AA88" s="66">
        <f t="shared" si="116"/>
        <v>11.062240000000001</v>
      </c>
      <c r="AB88" s="66">
        <f t="shared" si="117"/>
        <v>180.09900263959392</v>
      </c>
      <c r="AC88" s="106">
        <f t="shared" si="106"/>
        <v>54.389898797157365</v>
      </c>
      <c r="AD88" s="106">
        <f t="shared" si="87"/>
        <v>17.649702258680204</v>
      </c>
      <c r="AE88" s="106">
        <f t="shared" si="88"/>
        <v>9.1247159687350266</v>
      </c>
      <c r="AF88" s="66" t="s">
        <v>97</v>
      </c>
      <c r="AG88" s="129">
        <v>32.83</v>
      </c>
      <c r="AH88" s="132">
        <v>11.5</v>
      </c>
      <c r="AI88" s="67">
        <v>15.754999999999999</v>
      </c>
      <c r="AJ88" s="67">
        <v>16.559999999999999</v>
      </c>
      <c r="AK88" s="67">
        <v>17.479999999999997</v>
      </c>
      <c r="AL88" s="66">
        <f t="shared" si="118"/>
        <v>16.320416666666667</v>
      </c>
      <c r="AM88" s="66">
        <f t="shared" si="81"/>
        <v>123.23383420833333</v>
      </c>
      <c r="AN88" s="66"/>
      <c r="AO88" s="66"/>
      <c r="AP88" s="66"/>
      <c r="AQ88" s="66">
        <f t="shared" si="119"/>
        <v>0</v>
      </c>
      <c r="AR88" s="66">
        <f t="shared" si="120"/>
        <v>123.23383420833333</v>
      </c>
      <c r="AS88" s="64" t="s">
        <v>345</v>
      </c>
      <c r="AT88" s="64">
        <v>201.7</v>
      </c>
      <c r="AU88" s="64">
        <v>0.6</v>
      </c>
      <c r="AV88" s="64">
        <f t="shared" si="121"/>
        <v>4.5427226974999995</v>
      </c>
      <c r="AW88" s="133">
        <v>50000</v>
      </c>
      <c r="AX88" s="133">
        <v>23</v>
      </c>
      <c r="AY88" s="133" t="s">
        <v>346</v>
      </c>
      <c r="AZ88" s="106" t="s">
        <v>347</v>
      </c>
      <c r="BA88" s="64" t="s">
        <v>348</v>
      </c>
      <c r="BB88" s="133">
        <f t="shared" si="122"/>
        <v>9.3057999999999996</v>
      </c>
      <c r="BC88" s="106">
        <v>48.62</v>
      </c>
      <c r="BD88" s="106">
        <v>17.510000000000002</v>
      </c>
      <c r="BE88" s="66">
        <v>195.41</v>
      </c>
      <c r="BF88" s="106">
        <v>5.19</v>
      </c>
      <c r="BG88" s="134"/>
      <c r="BH88" s="149">
        <f t="shared" si="123"/>
        <v>655.9509606012648</v>
      </c>
      <c r="BI88" s="106">
        <f t="shared" si="89"/>
        <v>36.019800527918783</v>
      </c>
      <c r="BJ88" s="149">
        <f t="shared" si="124"/>
        <v>701.09547709791855</v>
      </c>
      <c r="BK88" s="154">
        <f t="shared" si="125"/>
        <v>638.30125834258456</v>
      </c>
      <c r="BL88" s="62"/>
      <c r="BM88" s="62"/>
      <c r="BN88" s="62"/>
      <c r="BO88" s="39"/>
      <c r="BS88" s="48"/>
    </row>
    <row r="89" spans="1:71" ht="76.5">
      <c r="A89" s="40" t="s">
        <v>174</v>
      </c>
      <c r="B89" s="63" t="s">
        <v>339</v>
      </c>
      <c r="C89" s="16" t="s">
        <v>344</v>
      </c>
      <c r="D89" s="52" t="s">
        <v>336</v>
      </c>
      <c r="E89" s="52">
        <v>4</v>
      </c>
      <c r="F89" s="52">
        <v>56.44</v>
      </c>
      <c r="G89" s="10">
        <v>0</v>
      </c>
      <c r="H89" s="65">
        <f t="shared" si="107"/>
        <v>0</v>
      </c>
      <c r="I89" s="10"/>
      <c r="J89" s="10">
        <f t="shared" si="108"/>
        <v>0</v>
      </c>
      <c r="K89" s="10"/>
      <c r="L89" s="10">
        <f t="shared" si="109"/>
        <v>0</v>
      </c>
      <c r="M89" s="10"/>
      <c r="N89" s="10">
        <v>25</v>
      </c>
      <c r="O89" s="10">
        <f t="shared" si="110"/>
        <v>14.11</v>
      </c>
      <c r="P89" s="10"/>
      <c r="Q89" s="10"/>
      <c r="R89" s="10">
        <v>40</v>
      </c>
      <c r="S89" s="10">
        <f t="shared" si="111"/>
        <v>28.22</v>
      </c>
      <c r="T89" s="10">
        <v>30</v>
      </c>
      <c r="U89" s="10">
        <f t="shared" si="112"/>
        <v>29.631</v>
      </c>
      <c r="V89" s="10">
        <v>30</v>
      </c>
      <c r="W89" s="10">
        <f t="shared" si="113"/>
        <v>29.631</v>
      </c>
      <c r="X89" s="66">
        <f t="shared" si="114"/>
        <v>158.03200000000001</v>
      </c>
      <c r="Y89" s="66">
        <f t="shared" si="86"/>
        <v>1.5228426395939085</v>
      </c>
      <c r="Z89" s="66">
        <f t="shared" si="115"/>
        <v>9.4819200000000006</v>
      </c>
      <c r="AA89" s="66">
        <f t="shared" si="116"/>
        <v>11.062240000000001</v>
      </c>
      <c r="AB89" s="66">
        <f t="shared" si="117"/>
        <v>180.09900263959392</v>
      </c>
      <c r="AC89" s="106">
        <f t="shared" si="106"/>
        <v>54.389898797157365</v>
      </c>
      <c r="AD89" s="106">
        <f t="shared" si="87"/>
        <v>17.649702258680204</v>
      </c>
      <c r="AE89" s="106">
        <f t="shared" si="88"/>
        <v>9.1247159687350266</v>
      </c>
      <c r="AF89" s="66" t="s">
        <v>97</v>
      </c>
      <c r="AG89" s="129">
        <v>32.83</v>
      </c>
      <c r="AH89" s="132">
        <v>11.5</v>
      </c>
      <c r="AI89" s="67">
        <v>15.754999999999999</v>
      </c>
      <c r="AJ89" s="67">
        <v>16.559999999999999</v>
      </c>
      <c r="AK89" s="67">
        <v>17.479999999999997</v>
      </c>
      <c r="AL89" s="66">
        <f t="shared" si="118"/>
        <v>16.320416666666667</v>
      </c>
      <c r="AM89" s="66">
        <f t="shared" si="81"/>
        <v>123.23383420833333</v>
      </c>
      <c r="AN89" s="66"/>
      <c r="AO89" s="66"/>
      <c r="AP89" s="66"/>
      <c r="AQ89" s="66">
        <f t="shared" si="119"/>
        <v>0</v>
      </c>
      <c r="AR89" s="66">
        <f t="shared" si="120"/>
        <v>123.23383420833333</v>
      </c>
      <c r="AS89" s="64" t="s">
        <v>345</v>
      </c>
      <c r="AT89" s="64">
        <v>201.7</v>
      </c>
      <c r="AU89" s="64">
        <v>0.6</v>
      </c>
      <c r="AV89" s="64">
        <f t="shared" si="121"/>
        <v>4.5427226974999995</v>
      </c>
      <c r="AW89" s="133">
        <v>50000</v>
      </c>
      <c r="AX89" s="133">
        <v>23</v>
      </c>
      <c r="AY89" s="133" t="s">
        <v>346</v>
      </c>
      <c r="AZ89" s="106" t="s">
        <v>347</v>
      </c>
      <c r="BA89" s="64" t="s">
        <v>348</v>
      </c>
      <c r="BB89" s="133">
        <f t="shared" si="122"/>
        <v>9.3057999999999996</v>
      </c>
      <c r="BC89" s="106">
        <v>48.62</v>
      </c>
      <c r="BD89" s="106">
        <v>17.510000000000002</v>
      </c>
      <c r="BE89" s="66">
        <v>195.41</v>
      </c>
      <c r="BF89" s="106">
        <v>5.19</v>
      </c>
      <c r="BG89" s="106"/>
      <c r="BH89" s="149">
        <f t="shared" si="123"/>
        <v>655.9509606012648</v>
      </c>
      <c r="BI89" s="106">
        <f t="shared" si="89"/>
        <v>36.019800527918783</v>
      </c>
      <c r="BJ89" s="149">
        <f t="shared" si="124"/>
        <v>701.09547709791855</v>
      </c>
      <c r="BK89" s="154">
        <f t="shared" si="125"/>
        <v>638.30125834258456</v>
      </c>
      <c r="BL89" s="62"/>
      <c r="BM89" s="62"/>
      <c r="BN89" s="62"/>
      <c r="BO89" s="39"/>
      <c r="BS89" s="48"/>
    </row>
    <row r="90" spans="1:71" ht="76.5">
      <c r="A90" s="40" t="s">
        <v>175</v>
      </c>
      <c r="B90" s="63" t="s">
        <v>339</v>
      </c>
      <c r="C90" s="16" t="s">
        <v>385</v>
      </c>
      <c r="D90" s="52" t="s">
        <v>336</v>
      </c>
      <c r="E90" s="10">
        <v>4</v>
      </c>
      <c r="F90" s="52">
        <v>56.44</v>
      </c>
      <c r="G90" s="10">
        <v>0</v>
      </c>
      <c r="H90" s="65">
        <f t="shared" si="107"/>
        <v>0</v>
      </c>
      <c r="I90" s="10"/>
      <c r="J90" s="10">
        <f t="shared" si="108"/>
        <v>0</v>
      </c>
      <c r="K90" s="10"/>
      <c r="L90" s="10">
        <f t="shared" si="109"/>
        <v>0</v>
      </c>
      <c r="M90" s="10"/>
      <c r="N90" s="10">
        <v>25</v>
      </c>
      <c r="O90" s="10">
        <f t="shared" si="110"/>
        <v>14.11</v>
      </c>
      <c r="P90" s="10"/>
      <c r="Q90" s="10"/>
      <c r="R90" s="10">
        <v>40</v>
      </c>
      <c r="S90" s="10">
        <f t="shared" si="111"/>
        <v>28.22</v>
      </c>
      <c r="T90" s="10">
        <v>30</v>
      </c>
      <c r="U90" s="10">
        <f t="shared" si="112"/>
        <v>29.631</v>
      </c>
      <c r="V90" s="10">
        <v>30</v>
      </c>
      <c r="W90" s="10">
        <f t="shared" si="113"/>
        <v>29.631</v>
      </c>
      <c r="X90" s="66">
        <f t="shared" si="114"/>
        <v>158.03200000000001</v>
      </c>
      <c r="Y90" s="66">
        <f t="shared" si="86"/>
        <v>1.5228426395939085</v>
      </c>
      <c r="Z90" s="66">
        <f t="shared" si="115"/>
        <v>9.4819200000000006</v>
      </c>
      <c r="AA90" s="66">
        <f t="shared" si="116"/>
        <v>11.062240000000001</v>
      </c>
      <c r="AB90" s="66">
        <f t="shared" si="117"/>
        <v>180.09900263959392</v>
      </c>
      <c r="AC90" s="106">
        <f t="shared" si="106"/>
        <v>54.389898797157365</v>
      </c>
      <c r="AD90" s="106">
        <f t="shared" si="87"/>
        <v>17.649702258680204</v>
      </c>
      <c r="AE90" s="106">
        <f t="shared" si="88"/>
        <v>9.1247159687350266</v>
      </c>
      <c r="AF90" s="66" t="s">
        <v>97</v>
      </c>
      <c r="AG90" s="129">
        <v>32.83</v>
      </c>
      <c r="AH90" s="132">
        <v>11.5</v>
      </c>
      <c r="AI90" s="67">
        <v>15.754999999999999</v>
      </c>
      <c r="AJ90" s="67">
        <v>16.559999999999999</v>
      </c>
      <c r="AK90" s="67">
        <v>17.479999999999997</v>
      </c>
      <c r="AL90" s="66">
        <f t="shared" si="118"/>
        <v>16.320416666666667</v>
      </c>
      <c r="AM90" s="66">
        <f t="shared" si="81"/>
        <v>123.23383420833333</v>
      </c>
      <c r="AN90" s="66"/>
      <c r="AO90" s="66"/>
      <c r="AP90" s="66"/>
      <c r="AQ90" s="66">
        <f t="shared" si="119"/>
        <v>0</v>
      </c>
      <c r="AR90" s="66">
        <f t="shared" si="120"/>
        <v>123.23383420833333</v>
      </c>
      <c r="AS90" s="64" t="s">
        <v>345</v>
      </c>
      <c r="AT90" s="64">
        <v>201.7</v>
      </c>
      <c r="AU90" s="64">
        <v>0.6</v>
      </c>
      <c r="AV90" s="64">
        <f t="shared" si="121"/>
        <v>4.5427226974999995</v>
      </c>
      <c r="AW90" s="133">
        <v>50000</v>
      </c>
      <c r="AX90" s="133">
        <v>23</v>
      </c>
      <c r="AY90" s="133" t="s">
        <v>346</v>
      </c>
      <c r="AZ90" s="106" t="s">
        <v>347</v>
      </c>
      <c r="BA90" s="64" t="s">
        <v>348</v>
      </c>
      <c r="BB90" s="133">
        <f t="shared" si="122"/>
        <v>9.3057999999999996</v>
      </c>
      <c r="BC90" s="106">
        <v>48.62</v>
      </c>
      <c r="BD90" s="106">
        <v>17.510000000000002</v>
      </c>
      <c r="BE90" s="66">
        <v>195.41</v>
      </c>
      <c r="BF90" s="106">
        <v>5.19</v>
      </c>
      <c r="BG90" s="106"/>
      <c r="BH90" s="149">
        <f t="shared" si="123"/>
        <v>655.9509606012648</v>
      </c>
      <c r="BI90" s="106">
        <f t="shared" si="89"/>
        <v>36.019800527918783</v>
      </c>
      <c r="BJ90" s="149">
        <f t="shared" si="124"/>
        <v>701.09547709791855</v>
      </c>
      <c r="BK90" s="154">
        <f t="shared" si="125"/>
        <v>638.30125834258456</v>
      </c>
      <c r="BL90" s="62"/>
      <c r="BM90" s="62"/>
      <c r="BN90" s="62"/>
      <c r="BO90" s="39"/>
      <c r="BS90" s="48"/>
    </row>
    <row r="91" spans="1:71" ht="76.5">
      <c r="A91" s="40" t="s">
        <v>176</v>
      </c>
      <c r="B91" s="63" t="s">
        <v>339</v>
      </c>
      <c r="C91" s="16" t="s">
        <v>386</v>
      </c>
      <c r="D91" s="52" t="s">
        <v>336</v>
      </c>
      <c r="E91" s="10">
        <v>4</v>
      </c>
      <c r="F91" s="52">
        <v>56.44</v>
      </c>
      <c r="G91" s="10">
        <v>0</v>
      </c>
      <c r="H91" s="65">
        <f t="shared" si="107"/>
        <v>0</v>
      </c>
      <c r="I91" s="10"/>
      <c r="J91" s="10">
        <f t="shared" si="108"/>
        <v>0</v>
      </c>
      <c r="K91" s="10"/>
      <c r="L91" s="10">
        <f t="shared" si="109"/>
        <v>0</v>
      </c>
      <c r="M91" s="10"/>
      <c r="N91" s="10">
        <v>25</v>
      </c>
      <c r="O91" s="10">
        <f t="shared" si="110"/>
        <v>14.11</v>
      </c>
      <c r="P91" s="10"/>
      <c r="Q91" s="10"/>
      <c r="R91" s="10">
        <v>40</v>
      </c>
      <c r="S91" s="10">
        <f t="shared" si="111"/>
        <v>28.22</v>
      </c>
      <c r="T91" s="10">
        <v>30</v>
      </c>
      <c r="U91" s="10">
        <f t="shared" si="112"/>
        <v>29.631</v>
      </c>
      <c r="V91" s="10">
        <v>30</v>
      </c>
      <c r="W91" s="10">
        <f t="shared" si="113"/>
        <v>29.631</v>
      </c>
      <c r="X91" s="66">
        <f t="shared" si="114"/>
        <v>158.03200000000001</v>
      </c>
      <c r="Y91" s="66">
        <f t="shared" si="86"/>
        <v>1.5228426395939085</v>
      </c>
      <c r="Z91" s="66">
        <f t="shared" si="115"/>
        <v>9.4819200000000006</v>
      </c>
      <c r="AA91" s="66">
        <f t="shared" si="116"/>
        <v>11.062240000000001</v>
      </c>
      <c r="AB91" s="66">
        <f t="shared" si="117"/>
        <v>180.09900263959392</v>
      </c>
      <c r="AC91" s="106">
        <f t="shared" si="106"/>
        <v>54.389898797157365</v>
      </c>
      <c r="AD91" s="106">
        <f t="shared" si="87"/>
        <v>17.649702258680204</v>
      </c>
      <c r="AE91" s="106">
        <f t="shared" si="88"/>
        <v>9.1247159687350266</v>
      </c>
      <c r="AF91" s="66" t="s">
        <v>97</v>
      </c>
      <c r="AG91" s="129">
        <v>32.83</v>
      </c>
      <c r="AH91" s="132">
        <v>11.5</v>
      </c>
      <c r="AI91" s="67">
        <v>15.754999999999999</v>
      </c>
      <c r="AJ91" s="67">
        <v>16.559999999999999</v>
      </c>
      <c r="AK91" s="67">
        <v>17.479999999999997</v>
      </c>
      <c r="AL91" s="66">
        <f t="shared" si="118"/>
        <v>16.320416666666667</v>
      </c>
      <c r="AM91" s="66">
        <f t="shared" si="81"/>
        <v>123.23383420833333</v>
      </c>
      <c r="AN91" s="66"/>
      <c r="AO91" s="66"/>
      <c r="AP91" s="66"/>
      <c r="AQ91" s="66">
        <f t="shared" si="119"/>
        <v>0</v>
      </c>
      <c r="AR91" s="66">
        <f t="shared" si="120"/>
        <v>123.23383420833333</v>
      </c>
      <c r="AS91" s="64" t="s">
        <v>345</v>
      </c>
      <c r="AT91" s="64">
        <v>201.7</v>
      </c>
      <c r="AU91" s="64">
        <v>0.6</v>
      </c>
      <c r="AV91" s="64">
        <f t="shared" si="121"/>
        <v>4.5427226974999995</v>
      </c>
      <c r="AW91" s="133">
        <v>50000</v>
      </c>
      <c r="AX91" s="133">
        <v>23</v>
      </c>
      <c r="AY91" s="133" t="s">
        <v>346</v>
      </c>
      <c r="AZ91" s="106" t="s">
        <v>347</v>
      </c>
      <c r="BA91" s="64" t="s">
        <v>348</v>
      </c>
      <c r="BB91" s="133">
        <f t="shared" si="122"/>
        <v>9.3057999999999996</v>
      </c>
      <c r="BC91" s="106">
        <v>48.62</v>
      </c>
      <c r="BD91" s="106">
        <v>17.510000000000002</v>
      </c>
      <c r="BE91" s="66">
        <v>195.41</v>
      </c>
      <c r="BF91" s="106">
        <v>5.19</v>
      </c>
      <c r="BG91" s="106"/>
      <c r="BH91" s="149">
        <f t="shared" si="123"/>
        <v>655.9509606012648</v>
      </c>
      <c r="BI91" s="106">
        <f t="shared" si="89"/>
        <v>36.019800527918783</v>
      </c>
      <c r="BJ91" s="149">
        <f t="shared" si="124"/>
        <v>701.09547709791855</v>
      </c>
      <c r="BK91" s="154">
        <f t="shared" si="125"/>
        <v>638.30125834258456</v>
      </c>
      <c r="BL91" s="62"/>
      <c r="BM91" s="62"/>
      <c r="BN91" s="62"/>
      <c r="BO91" s="39"/>
      <c r="BS91" s="48"/>
    </row>
    <row r="92" spans="1:71" ht="76.5">
      <c r="A92" s="40" t="s">
        <v>177</v>
      </c>
      <c r="B92" s="63" t="s">
        <v>339</v>
      </c>
      <c r="C92" s="16" t="s">
        <v>404</v>
      </c>
      <c r="D92" s="16" t="s">
        <v>336</v>
      </c>
      <c r="E92" s="72">
        <v>4</v>
      </c>
      <c r="F92" s="52">
        <v>56.44</v>
      </c>
      <c r="G92" s="10">
        <v>0</v>
      </c>
      <c r="H92" s="65">
        <f t="shared" si="107"/>
        <v>0</v>
      </c>
      <c r="I92" s="10"/>
      <c r="J92" s="10">
        <f t="shared" si="108"/>
        <v>0</v>
      </c>
      <c r="K92" s="10"/>
      <c r="L92" s="10">
        <f t="shared" si="109"/>
        <v>0</v>
      </c>
      <c r="M92" s="10"/>
      <c r="N92" s="10">
        <v>25</v>
      </c>
      <c r="O92" s="10">
        <f t="shared" si="110"/>
        <v>14.11</v>
      </c>
      <c r="P92" s="10"/>
      <c r="Q92" s="10"/>
      <c r="R92" s="10">
        <v>40</v>
      </c>
      <c r="S92" s="10">
        <f t="shared" si="111"/>
        <v>28.22</v>
      </c>
      <c r="T92" s="10">
        <v>30</v>
      </c>
      <c r="U92" s="10">
        <f t="shared" si="112"/>
        <v>29.631</v>
      </c>
      <c r="V92" s="10">
        <v>30</v>
      </c>
      <c r="W92" s="10">
        <f t="shared" si="113"/>
        <v>29.631</v>
      </c>
      <c r="X92" s="66">
        <f t="shared" si="114"/>
        <v>158.03200000000001</v>
      </c>
      <c r="Y92" s="66">
        <f t="shared" si="86"/>
        <v>1.5228426395939085</v>
      </c>
      <c r="Z92" s="66">
        <f t="shared" si="115"/>
        <v>9.4819200000000006</v>
      </c>
      <c r="AA92" s="66">
        <f t="shared" si="116"/>
        <v>11.062240000000001</v>
      </c>
      <c r="AB92" s="66">
        <f t="shared" si="117"/>
        <v>180.09900263959392</v>
      </c>
      <c r="AC92" s="106">
        <f t="shared" si="106"/>
        <v>54.389898797157365</v>
      </c>
      <c r="AD92" s="106">
        <f t="shared" si="87"/>
        <v>17.649702258680204</v>
      </c>
      <c r="AE92" s="106">
        <f t="shared" si="88"/>
        <v>9.1247159687350266</v>
      </c>
      <c r="AF92" s="66" t="s">
        <v>97</v>
      </c>
      <c r="AG92" s="129">
        <v>32.83</v>
      </c>
      <c r="AH92" s="132">
        <v>11.5</v>
      </c>
      <c r="AI92" s="67">
        <v>15.754999999999999</v>
      </c>
      <c r="AJ92" s="67">
        <v>16.559999999999999</v>
      </c>
      <c r="AK92" s="67">
        <v>17.479999999999997</v>
      </c>
      <c r="AL92" s="66">
        <f t="shared" si="118"/>
        <v>16.320416666666667</v>
      </c>
      <c r="AM92" s="66">
        <f t="shared" si="81"/>
        <v>123.23383420833333</v>
      </c>
      <c r="AN92" s="66"/>
      <c r="AO92" s="66"/>
      <c r="AP92" s="66"/>
      <c r="AQ92" s="66">
        <f t="shared" si="119"/>
        <v>0</v>
      </c>
      <c r="AR92" s="66">
        <f t="shared" si="120"/>
        <v>123.23383420833333</v>
      </c>
      <c r="AS92" s="64" t="s">
        <v>345</v>
      </c>
      <c r="AT92" s="64">
        <v>201.7</v>
      </c>
      <c r="AU92" s="64">
        <v>0.6</v>
      </c>
      <c r="AV92" s="64">
        <f t="shared" si="121"/>
        <v>4.5427226974999995</v>
      </c>
      <c r="AW92" s="133">
        <v>50000</v>
      </c>
      <c r="AX92" s="133">
        <v>23</v>
      </c>
      <c r="AY92" s="133" t="s">
        <v>346</v>
      </c>
      <c r="AZ92" s="106" t="s">
        <v>347</v>
      </c>
      <c r="BA92" s="64" t="s">
        <v>348</v>
      </c>
      <c r="BB92" s="133">
        <f t="shared" si="122"/>
        <v>9.3057999999999996</v>
      </c>
      <c r="BC92" s="106">
        <v>48.62</v>
      </c>
      <c r="BD92" s="106">
        <v>17.510000000000002</v>
      </c>
      <c r="BE92" s="66">
        <v>195.41</v>
      </c>
      <c r="BF92" s="106">
        <v>5.19</v>
      </c>
      <c r="BG92" s="66"/>
      <c r="BH92" s="150">
        <f t="shared" ref="BH92:BH98" si="126">AB92+AC92+AD92+AR92+AV92+BB92+BC92+BD92+BE92+BF92</f>
        <v>655.9509606012648</v>
      </c>
      <c r="BI92" s="106">
        <f t="shared" si="89"/>
        <v>36.019800527918783</v>
      </c>
      <c r="BJ92" s="150">
        <f t="shared" si="124"/>
        <v>701.09547709791855</v>
      </c>
      <c r="BK92" s="155">
        <f t="shared" si="125"/>
        <v>638.30125834258456</v>
      </c>
      <c r="BL92" s="62"/>
      <c r="BM92" s="62"/>
      <c r="BN92" s="62"/>
      <c r="BO92" s="39"/>
      <c r="BS92" s="48"/>
    </row>
    <row r="93" spans="1:71" ht="76.5">
      <c r="A93" s="40" t="s">
        <v>178</v>
      </c>
      <c r="B93" s="63" t="s">
        <v>339</v>
      </c>
      <c r="C93" s="16" t="s">
        <v>405</v>
      </c>
      <c r="D93" s="16" t="s">
        <v>336</v>
      </c>
      <c r="E93" s="72">
        <v>4</v>
      </c>
      <c r="F93" s="52">
        <v>56.44</v>
      </c>
      <c r="G93" s="10">
        <v>0</v>
      </c>
      <c r="H93" s="65">
        <f t="shared" si="107"/>
        <v>0</v>
      </c>
      <c r="I93" s="10"/>
      <c r="J93" s="10">
        <f t="shared" si="108"/>
        <v>0</v>
      </c>
      <c r="K93" s="10"/>
      <c r="L93" s="10">
        <f t="shared" si="109"/>
        <v>0</v>
      </c>
      <c r="M93" s="10"/>
      <c r="N93" s="10">
        <v>25</v>
      </c>
      <c r="O93" s="10">
        <f t="shared" si="110"/>
        <v>14.11</v>
      </c>
      <c r="P93" s="10"/>
      <c r="Q93" s="10"/>
      <c r="R93" s="10">
        <v>40</v>
      </c>
      <c r="S93" s="10">
        <f t="shared" si="111"/>
        <v>28.22</v>
      </c>
      <c r="T93" s="10">
        <v>30</v>
      </c>
      <c r="U93" s="10">
        <f t="shared" si="112"/>
        <v>29.631</v>
      </c>
      <c r="V93" s="10">
        <v>30</v>
      </c>
      <c r="W93" s="10">
        <f t="shared" si="113"/>
        <v>29.631</v>
      </c>
      <c r="X93" s="66">
        <f t="shared" si="114"/>
        <v>158.03200000000001</v>
      </c>
      <c r="Y93" s="66">
        <f t="shared" si="86"/>
        <v>1.5228426395939085</v>
      </c>
      <c r="Z93" s="66">
        <f t="shared" si="115"/>
        <v>9.4819200000000006</v>
      </c>
      <c r="AA93" s="66">
        <f t="shared" si="116"/>
        <v>11.062240000000001</v>
      </c>
      <c r="AB93" s="66">
        <f t="shared" si="117"/>
        <v>180.09900263959392</v>
      </c>
      <c r="AC93" s="106">
        <f t="shared" si="106"/>
        <v>54.389898797157365</v>
      </c>
      <c r="AD93" s="106">
        <f t="shared" si="87"/>
        <v>17.649702258680204</v>
      </c>
      <c r="AE93" s="106">
        <f t="shared" si="88"/>
        <v>9.1247159687350266</v>
      </c>
      <c r="AF93" s="66" t="s">
        <v>97</v>
      </c>
      <c r="AG93" s="129">
        <v>32.83</v>
      </c>
      <c r="AH93" s="132">
        <v>11.5</v>
      </c>
      <c r="AI93" s="67">
        <v>15.754999999999999</v>
      </c>
      <c r="AJ93" s="67">
        <v>16.559999999999999</v>
      </c>
      <c r="AK93" s="67">
        <v>17.479999999999997</v>
      </c>
      <c r="AL93" s="66">
        <f t="shared" si="118"/>
        <v>16.320416666666667</v>
      </c>
      <c r="AM93" s="66">
        <f t="shared" si="81"/>
        <v>123.23383420833333</v>
      </c>
      <c r="AN93" s="66"/>
      <c r="AO93" s="66"/>
      <c r="AP93" s="66"/>
      <c r="AQ93" s="66">
        <f t="shared" si="119"/>
        <v>0</v>
      </c>
      <c r="AR93" s="66">
        <f t="shared" si="120"/>
        <v>123.23383420833333</v>
      </c>
      <c r="AS93" s="64" t="s">
        <v>345</v>
      </c>
      <c r="AT93" s="64">
        <v>201.7</v>
      </c>
      <c r="AU93" s="64">
        <v>0.6</v>
      </c>
      <c r="AV93" s="64">
        <f t="shared" si="121"/>
        <v>4.5427226974999995</v>
      </c>
      <c r="AW93" s="133">
        <v>50000</v>
      </c>
      <c r="AX93" s="133">
        <v>23</v>
      </c>
      <c r="AY93" s="133" t="s">
        <v>346</v>
      </c>
      <c r="AZ93" s="106" t="s">
        <v>347</v>
      </c>
      <c r="BA93" s="64" t="s">
        <v>348</v>
      </c>
      <c r="BB93" s="133">
        <f t="shared" si="122"/>
        <v>9.3057999999999996</v>
      </c>
      <c r="BC93" s="106">
        <v>48.62</v>
      </c>
      <c r="BD93" s="106">
        <v>17.510000000000002</v>
      </c>
      <c r="BE93" s="66">
        <v>195.41</v>
      </c>
      <c r="BF93" s="106">
        <v>5.19</v>
      </c>
      <c r="BG93" s="66"/>
      <c r="BH93" s="150">
        <f t="shared" si="126"/>
        <v>655.9509606012648</v>
      </c>
      <c r="BI93" s="106">
        <f t="shared" si="89"/>
        <v>36.019800527918783</v>
      </c>
      <c r="BJ93" s="150">
        <f t="shared" si="124"/>
        <v>701.09547709791855</v>
      </c>
      <c r="BK93" s="155">
        <f t="shared" si="125"/>
        <v>638.30125834258456</v>
      </c>
      <c r="BL93" s="62"/>
      <c r="BM93" s="62"/>
      <c r="BN93" s="62"/>
      <c r="BO93" s="39"/>
      <c r="BS93" s="48"/>
    </row>
    <row r="94" spans="1:71" ht="76.5">
      <c r="A94" s="74">
        <v>81</v>
      </c>
      <c r="B94" s="63" t="s">
        <v>339</v>
      </c>
      <c r="C94" s="16" t="s">
        <v>415</v>
      </c>
      <c r="D94" s="16" t="s">
        <v>336</v>
      </c>
      <c r="E94" s="72">
        <v>4</v>
      </c>
      <c r="F94" s="64">
        <v>56.44</v>
      </c>
      <c r="G94" s="10">
        <v>0</v>
      </c>
      <c r="H94" s="65">
        <f t="shared" si="107"/>
        <v>0</v>
      </c>
      <c r="I94" s="10"/>
      <c r="J94" s="10">
        <f t="shared" si="108"/>
        <v>0</v>
      </c>
      <c r="K94" s="10"/>
      <c r="L94" s="10">
        <f t="shared" si="109"/>
        <v>0</v>
      </c>
      <c r="M94" s="10"/>
      <c r="N94" s="10">
        <v>25</v>
      </c>
      <c r="O94" s="10">
        <f t="shared" si="110"/>
        <v>14.11</v>
      </c>
      <c r="P94" s="10"/>
      <c r="Q94" s="10"/>
      <c r="R94" s="10">
        <v>40</v>
      </c>
      <c r="S94" s="10">
        <f t="shared" si="111"/>
        <v>28.22</v>
      </c>
      <c r="T94" s="10">
        <v>30</v>
      </c>
      <c r="U94" s="10">
        <f t="shared" si="112"/>
        <v>29.631</v>
      </c>
      <c r="V94" s="10">
        <v>30</v>
      </c>
      <c r="W94" s="10">
        <f t="shared" si="113"/>
        <v>29.631</v>
      </c>
      <c r="X94" s="66">
        <f t="shared" si="114"/>
        <v>158.03200000000001</v>
      </c>
      <c r="Y94" s="66">
        <f t="shared" si="86"/>
        <v>1.5228426395939085</v>
      </c>
      <c r="Z94" s="66">
        <f t="shared" si="115"/>
        <v>9.4819200000000006</v>
      </c>
      <c r="AA94" s="66">
        <f t="shared" si="116"/>
        <v>11.062240000000001</v>
      </c>
      <c r="AB94" s="66">
        <f t="shared" si="117"/>
        <v>180.09900263959392</v>
      </c>
      <c r="AC94" s="106">
        <f t="shared" si="106"/>
        <v>54.389898797157365</v>
      </c>
      <c r="AD94" s="106">
        <f t="shared" si="87"/>
        <v>17.649702258680204</v>
      </c>
      <c r="AE94" s="106">
        <f t="shared" si="88"/>
        <v>9.1247159687350266</v>
      </c>
      <c r="AF94" s="66" t="s">
        <v>97</v>
      </c>
      <c r="AG94" s="129">
        <v>32.83</v>
      </c>
      <c r="AH94" s="132">
        <v>11.5</v>
      </c>
      <c r="AI94" s="67">
        <v>15.754999999999999</v>
      </c>
      <c r="AJ94" s="67">
        <v>16.559999999999999</v>
      </c>
      <c r="AK94" s="67">
        <v>17.479999999999997</v>
      </c>
      <c r="AL94" s="66">
        <f t="shared" si="118"/>
        <v>16.320416666666667</v>
      </c>
      <c r="AM94" s="66">
        <f t="shared" si="81"/>
        <v>123.23383420833333</v>
      </c>
      <c r="AN94" s="66"/>
      <c r="AO94" s="66"/>
      <c r="AP94" s="66"/>
      <c r="AQ94" s="66">
        <f t="shared" si="119"/>
        <v>0</v>
      </c>
      <c r="AR94" s="66">
        <f t="shared" si="120"/>
        <v>123.23383420833333</v>
      </c>
      <c r="AS94" s="64" t="s">
        <v>345</v>
      </c>
      <c r="AT94" s="64">
        <v>201.7</v>
      </c>
      <c r="AU94" s="64">
        <v>0.6</v>
      </c>
      <c r="AV94" s="64">
        <f t="shared" si="121"/>
        <v>4.5427226974999995</v>
      </c>
      <c r="AW94" s="133">
        <v>50000</v>
      </c>
      <c r="AX94" s="133">
        <v>23</v>
      </c>
      <c r="AY94" s="133" t="s">
        <v>346</v>
      </c>
      <c r="AZ94" s="106" t="s">
        <v>347</v>
      </c>
      <c r="BA94" s="64" t="s">
        <v>348</v>
      </c>
      <c r="BB94" s="133">
        <f t="shared" si="122"/>
        <v>9.3057999999999996</v>
      </c>
      <c r="BC94" s="106">
        <v>48.62</v>
      </c>
      <c r="BD94" s="106">
        <v>17.510000000000002</v>
      </c>
      <c r="BE94" s="66">
        <v>195.41</v>
      </c>
      <c r="BF94" s="106">
        <v>5.19</v>
      </c>
      <c r="BG94" s="66"/>
      <c r="BH94" s="150">
        <f t="shared" si="126"/>
        <v>655.9509606012648</v>
      </c>
      <c r="BI94" s="106">
        <f t="shared" si="89"/>
        <v>36.019800527918783</v>
      </c>
      <c r="BJ94" s="150">
        <f t="shared" si="124"/>
        <v>701.09547709791855</v>
      </c>
      <c r="BK94" s="155">
        <f t="shared" si="125"/>
        <v>638.30125834258456</v>
      </c>
      <c r="BL94" s="62"/>
      <c r="BM94" s="62"/>
      <c r="BN94" s="62"/>
      <c r="BO94" s="39"/>
      <c r="BS94" s="48"/>
    </row>
    <row r="95" spans="1:71" ht="78.75">
      <c r="A95" s="74">
        <v>82</v>
      </c>
      <c r="B95" s="55" t="s">
        <v>305</v>
      </c>
      <c r="C95" s="52" t="s">
        <v>306</v>
      </c>
      <c r="D95" s="52" t="s">
        <v>336</v>
      </c>
      <c r="E95" s="52">
        <v>4</v>
      </c>
      <c r="F95" s="53">
        <v>70.55</v>
      </c>
      <c r="G95" s="52">
        <v>0</v>
      </c>
      <c r="H95" s="54">
        <f>F95*G95/100</f>
        <v>0</v>
      </c>
      <c r="I95" s="52"/>
      <c r="J95" s="52">
        <f>F95*I95/100</f>
        <v>0</v>
      </c>
      <c r="K95" s="52"/>
      <c r="L95" s="52">
        <f>F95*K95/100</f>
        <v>0</v>
      </c>
      <c r="M95" s="52"/>
      <c r="N95" s="52"/>
      <c r="O95" s="52">
        <f>F95*N95/100</f>
        <v>0</v>
      </c>
      <c r="P95" s="52"/>
      <c r="Q95" s="52"/>
      <c r="R95" s="52">
        <v>40</v>
      </c>
      <c r="S95" s="52">
        <f>(F95+H95+J95+L95+M95+O95+Q95)*R95/100</f>
        <v>28.22</v>
      </c>
      <c r="T95" s="52">
        <v>30</v>
      </c>
      <c r="U95" s="52">
        <f>(F95+H95+J95+L95+M95+O95+Q95+S95)*30/100</f>
        <v>29.631</v>
      </c>
      <c r="V95" s="52">
        <v>30</v>
      </c>
      <c r="W95" s="52">
        <f>U95</f>
        <v>29.631</v>
      </c>
      <c r="X95" s="106">
        <f>F95+H95+J95+L95+M95+O95+Q95+S95+U95+W95</f>
        <v>158.03200000000001</v>
      </c>
      <c r="Y95" s="106">
        <f t="shared" si="86"/>
        <v>1.5228426395939085</v>
      </c>
      <c r="Z95" s="106">
        <f>X95*0.06</f>
        <v>9.4819200000000006</v>
      </c>
      <c r="AA95" s="106">
        <f>X95*0.07</f>
        <v>11.062240000000001</v>
      </c>
      <c r="AB95" s="106">
        <f>X95+Y95+Z95+AA95</f>
        <v>180.09900263959392</v>
      </c>
      <c r="AC95" s="106">
        <f t="shared" si="106"/>
        <v>54.389898797157365</v>
      </c>
      <c r="AD95" s="106">
        <f t="shared" si="87"/>
        <v>17.649702258680204</v>
      </c>
      <c r="AE95" s="106">
        <f t="shared" si="88"/>
        <v>9.1247159687350266</v>
      </c>
      <c r="AF95" s="106" t="s">
        <v>97</v>
      </c>
      <c r="AG95" s="129">
        <v>32.83</v>
      </c>
      <c r="AH95" s="130">
        <v>18.3</v>
      </c>
      <c r="AI95" s="130">
        <v>25.070999999999998</v>
      </c>
      <c r="AJ95" s="130">
        <v>26.352000000000004</v>
      </c>
      <c r="AK95" s="130">
        <v>27.815999999999995</v>
      </c>
      <c r="AL95" s="106">
        <f>(AI95*7+AJ95*2+AK95*3)/12</f>
        <v>25.970749999999999</v>
      </c>
      <c r="AM95" s="106">
        <f t="shared" si="81"/>
        <v>196.10253617499998</v>
      </c>
      <c r="AN95" s="106" t="s">
        <v>252</v>
      </c>
      <c r="AO95" s="106">
        <v>6.4</v>
      </c>
      <c r="AP95" s="106">
        <v>0.4</v>
      </c>
      <c r="AQ95" s="106">
        <f>AG95*AO95*AP95</f>
        <v>84.044800000000009</v>
      </c>
      <c r="AR95" s="106">
        <f>AM95+AQ95</f>
        <v>280.14733617499996</v>
      </c>
      <c r="AS95" s="106" t="s">
        <v>187</v>
      </c>
      <c r="AT95" s="106">
        <v>52.25</v>
      </c>
      <c r="AU95" s="106">
        <v>3.48</v>
      </c>
      <c r="AV95" s="106">
        <f>AU95/100*AL95*0.23*AT95</f>
        <v>10.861201386749999</v>
      </c>
      <c r="AW95" s="106">
        <v>50000</v>
      </c>
      <c r="AX95" s="106">
        <v>23</v>
      </c>
      <c r="AY95" s="106" t="s">
        <v>313</v>
      </c>
      <c r="AZ95" s="106">
        <v>7057</v>
      </c>
      <c r="BA95" s="106">
        <v>7</v>
      </c>
      <c r="BB95" s="106">
        <f>AZ95*BA95/2000</f>
        <v>24.6995</v>
      </c>
      <c r="BC95" s="106">
        <v>48.62</v>
      </c>
      <c r="BD95" s="106">
        <v>17.510000000000002</v>
      </c>
      <c r="BE95" s="106">
        <v>646.88</v>
      </c>
      <c r="BF95" s="106">
        <v>5.19</v>
      </c>
      <c r="BG95" s="106"/>
      <c r="BH95" s="149">
        <f t="shared" si="126"/>
        <v>1286.0466412571816</v>
      </c>
      <c r="BI95" s="106">
        <f t="shared" si="89"/>
        <v>36.019800527918783</v>
      </c>
      <c r="BJ95" s="149">
        <f>BH95+AE95+BI95</f>
        <v>1331.1911577538353</v>
      </c>
      <c r="BK95" s="154">
        <f t="shared" si="80"/>
        <v>1268.3969389985014</v>
      </c>
      <c r="BL95" s="62"/>
      <c r="BM95" s="62"/>
      <c r="BN95" s="62"/>
      <c r="BO95" s="39"/>
      <c r="BS95" s="48"/>
    </row>
    <row r="96" spans="1:71" ht="47.25">
      <c r="A96" s="74">
        <v>83</v>
      </c>
      <c r="B96" s="52" t="s">
        <v>15</v>
      </c>
      <c r="C96" s="52" t="s">
        <v>16</v>
      </c>
      <c r="D96" s="52" t="s">
        <v>336</v>
      </c>
      <c r="E96" s="52">
        <v>4</v>
      </c>
      <c r="F96" s="52">
        <v>77.14</v>
      </c>
      <c r="G96" s="52"/>
      <c r="H96" s="54">
        <f>F96*G96/100</f>
        <v>0</v>
      </c>
      <c r="I96" s="52"/>
      <c r="J96" s="52">
        <f>F96*I96/100</f>
        <v>0</v>
      </c>
      <c r="K96" s="52"/>
      <c r="L96" s="52">
        <f>F96*K96/100</f>
        <v>0</v>
      </c>
      <c r="M96" s="52"/>
      <c r="N96" s="52">
        <v>25</v>
      </c>
      <c r="O96" s="52">
        <f>F96*N96/100</f>
        <v>19.285</v>
      </c>
      <c r="P96" s="52"/>
      <c r="Q96" s="52"/>
      <c r="R96" s="52">
        <v>40</v>
      </c>
      <c r="S96" s="52">
        <f>(F96+H96+J96+L96+M96+O96+Q96)*R96/100</f>
        <v>38.57</v>
      </c>
      <c r="T96" s="52">
        <v>30</v>
      </c>
      <c r="U96" s="52">
        <f>(F96+H96+J96+L96+M96+O96+Q96+S96)*30/100</f>
        <v>40.498500000000007</v>
      </c>
      <c r="V96" s="52">
        <v>30</v>
      </c>
      <c r="W96" s="52">
        <f>U96</f>
        <v>40.498500000000007</v>
      </c>
      <c r="X96" s="106">
        <f>F96+H96+J96+L96+M96+O96+Q96+S96+U96+W96</f>
        <v>215.99200000000002</v>
      </c>
      <c r="Y96" s="106">
        <f t="shared" si="86"/>
        <v>1.5228426395939085</v>
      </c>
      <c r="Z96" s="106">
        <f>X96*0.06</f>
        <v>12.959520000000001</v>
      </c>
      <c r="AA96" s="106">
        <f>X96*0.07</f>
        <v>15.119440000000003</v>
      </c>
      <c r="AB96" s="106">
        <f>X96+Y96+Z96+AA96</f>
        <v>245.59380263959392</v>
      </c>
      <c r="AC96" s="106">
        <f t="shared" si="106"/>
        <v>74.169328397157358</v>
      </c>
      <c r="AD96" s="106">
        <f t="shared" si="87"/>
        <v>24.068192658680204</v>
      </c>
      <c r="AE96" s="106">
        <f t="shared" si="88"/>
        <v>12.443010010735028</v>
      </c>
      <c r="AF96" s="106" t="s">
        <v>101</v>
      </c>
      <c r="AG96" s="106">
        <v>31.43</v>
      </c>
      <c r="AH96" s="106">
        <v>11.1</v>
      </c>
      <c r="AI96" s="130">
        <v>14.096999999999998</v>
      </c>
      <c r="AJ96" s="130">
        <v>14.873999999999999</v>
      </c>
      <c r="AK96" s="130">
        <v>15.761999999999997</v>
      </c>
      <c r="AL96" s="106">
        <f>(AI96*7+AJ96*2+AK96*3)/12</f>
        <v>14.642749999999998</v>
      </c>
      <c r="AM96" s="106">
        <f t="shared" si="81"/>
        <v>105.850975475</v>
      </c>
      <c r="AN96" s="106"/>
      <c r="AO96" s="106"/>
      <c r="AP96" s="106"/>
      <c r="AQ96" s="106">
        <f>AG96*AO96*AP96</f>
        <v>0</v>
      </c>
      <c r="AR96" s="106">
        <f>AM96+AQ96</f>
        <v>105.850975475</v>
      </c>
      <c r="AS96" s="106"/>
      <c r="AT96" s="106"/>
      <c r="AU96" s="106"/>
      <c r="AV96" s="106">
        <v>0</v>
      </c>
      <c r="AW96" s="106">
        <v>50000</v>
      </c>
      <c r="AX96" s="106">
        <v>23</v>
      </c>
      <c r="AY96" s="106" t="s">
        <v>239</v>
      </c>
      <c r="AZ96" s="106">
        <v>7011.87</v>
      </c>
      <c r="BA96" s="106">
        <v>4</v>
      </c>
      <c r="BB96" s="106">
        <f t="shared" ref="BB96:BB104" si="127">AZ96*BA96/AW96*AX96</f>
        <v>12.901840799999999</v>
      </c>
      <c r="BC96" s="106">
        <v>48.62</v>
      </c>
      <c r="BD96" s="106">
        <v>17.510000000000002</v>
      </c>
      <c r="BE96" s="106">
        <v>125.82</v>
      </c>
      <c r="BF96" s="106">
        <v>5.19</v>
      </c>
      <c r="BG96" s="106"/>
      <c r="BH96" s="149">
        <f t="shared" si="126"/>
        <v>659.72413997043145</v>
      </c>
      <c r="BI96" s="106">
        <f t="shared" si="89"/>
        <v>49.118760527918788</v>
      </c>
      <c r="BJ96" s="149">
        <f>BH96+AE96+BI96</f>
        <v>721.28591050908528</v>
      </c>
      <c r="BK96" s="154"/>
      <c r="BL96" s="62"/>
      <c r="BM96" s="62"/>
      <c r="BN96" s="62"/>
      <c r="BO96" s="39"/>
      <c r="BS96" s="48"/>
    </row>
    <row r="97" spans="1:71" ht="94.5">
      <c r="A97" s="74">
        <v>84</v>
      </c>
      <c r="B97" s="52" t="s">
        <v>47</v>
      </c>
      <c r="C97" s="52" t="s">
        <v>6</v>
      </c>
      <c r="D97" s="52" t="s">
        <v>336</v>
      </c>
      <c r="E97" s="52">
        <v>4</v>
      </c>
      <c r="F97" s="52">
        <v>63.5</v>
      </c>
      <c r="G97" s="52">
        <v>6</v>
      </c>
      <c r="H97" s="54">
        <f>F97*G97/100</f>
        <v>3.81</v>
      </c>
      <c r="I97" s="52"/>
      <c r="J97" s="52">
        <f>F97*I97/100</f>
        <v>0</v>
      </c>
      <c r="K97" s="52"/>
      <c r="L97" s="52">
        <f>F97*K97/100</f>
        <v>0</v>
      </c>
      <c r="M97" s="52"/>
      <c r="N97" s="52">
        <v>25</v>
      </c>
      <c r="O97" s="52">
        <f>F97*N97/100</f>
        <v>15.875</v>
      </c>
      <c r="P97" s="52"/>
      <c r="Q97" s="52"/>
      <c r="R97" s="52">
        <v>40</v>
      </c>
      <c r="S97" s="52">
        <f>(F97+H97+J97+L97+M97+O97+Q97)*R97/100</f>
        <v>33.274000000000001</v>
      </c>
      <c r="T97" s="52">
        <v>30</v>
      </c>
      <c r="U97" s="52">
        <f>(F97+H97+J97+L97+M97+O97+Q97+S97)*30/100</f>
        <v>34.9377</v>
      </c>
      <c r="V97" s="52">
        <v>30</v>
      </c>
      <c r="W97" s="52">
        <f>U97</f>
        <v>34.9377</v>
      </c>
      <c r="X97" s="106">
        <f>F97+H97+J97+L97+M97+O97+Q97+S97+U97+W97</f>
        <v>186.33440000000002</v>
      </c>
      <c r="Y97" s="106">
        <f t="shared" si="86"/>
        <v>1.5228426395939085</v>
      </c>
      <c r="Z97" s="106">
        <f>X97*0.06</f>
        <v>11.180064</v>
      </c>
      <c r="AA97" s="106">
        <f>X97*0.07</f>
        <v>13.043408000000003</v>
      </c>
      <c r="AB97" s="106">
        <f>X97+Y97+Z97+AA97</f>
        <v>212.08071463959391</v>
      </c>
      <c r="AC97" s="106">
        <f t="shared" si="106"/>
        <v>64.048375821157364</v>
      </c>
      <c r="AD97" s="106">
        <f t="shared" si="87"/>
        <v>20.783910034680204</v>
      </c>
      <c r="AE97" s="106">
        <f t="shared" si="88"/>
        <v>10.745069407215027</v>
      </c>
      <c r="AF97" s="106" t="s">
        <v>100</v>
      </c>
      <c r="AG97" s="106">
        <v>32.5</v>
      </c>
      <c r="AH97" s="106">
        <v>11.79</v>
      </c>
      <c r="AI97" s="130">
        <v>13.2</v>
      </c>
      <c r="AJ97" s="130">
        <v>14.12</v>
      </c>
      <c r="AK97" s="130">
        <v>15.18</v>
      </c>
      <c r="AL97" s="106">
        <f>(AI97*7+AJ97*2+AK97*3)/12</f>
        <v>13.848333333333331</v>
      </c>
      <c r="AM97" s="106">
        <f t="shared" si="81"/>
        <v>103.51629166666666</v>
      </c>
      <c r="AN97" s="106"/>
      <c r="AO97" s="106"/>
      <c r="AP97" s="106"/>
      <c r="AQ97" s="106">
        <f>AG97*AO97*AP97</f>
        <v>0</v>
      </c>
      <c r="AR97" s="106">
        <f>AM97+AQ97</f>
        <v>103.51629166666666</v>
      </c>
      <c r="AS97" s="106" t="s">
        <v>289</v>
      </c>
      <c r="AT97" s="106">
        <v>456</v>
      </c>
      <c r="AU97" s="106">
        <v>0.72</v>
      </c>
      <c r="AV97" s="106">
        <f t="shared" ref="AV97:AV102" si="128">AL97/100*23*AU97/100*AT97</f>
        <v>10.457375039999999</v>
      </c>
      <c r="AW97" s="106">
        <v>50000</v>
      </c>
      <c r="AX97" s="106">
        <v>23</v>
      </c>
      <c r="AY97" s="106" t="s">
        <v>208</v>
      </c>
      <c r="AZ97" s="106">
        <v>4943.22</v>
      </c>
      <c r="BA97" s="106">
        <v>4</v>
      </c>
      <c r="BB97" s="106">
        <f t="shared" si="127"/>
        <v>9.0955247999999997</v>
      </c>
      <c r="BC97" s="106">
        <v>48.62</v>
      </c>
      <c r="BD97" s="106">
        <v>17.510000000000002</v>
      </c>
      <c r="BE97" s="106">
        <v>41.61</v>
      </c>
      <c r="BF97" s="106">
        <v>5.19</v>
      </c>
      <c r="BG97" s="106"/>
      <c r="BH97" s="149">
        <f t="shared" si="126"/>
        <v>532.91219200209821</v>
      </c>
      <c r="BI97" s="106">
        <f t="shared" si="89"/>
        <v>42.416142927918784</v>
      </c>
      <c r="BJ97" s="149">
        <f>BH97+AE97+BI97</f>
        <v>586.07340433723209</v>
      </c>
      <c r="BK97" s="154">
        <f>BH97-AD97</f>
        <v>512.12828196741805</v>
      </c>
      <c r="BL97" s="62"/>
      <c r="BM97" s="62"/>
      <c r="BN97" s="62"/>
      <c r="BO97" s="39"/>
      <c r="BS97" s="48"/>
    </row>
    <row r="98" spans="1:71" ht="94.5">
      <c r="A98" s="74">
        <v>85</v>
      </c>
      <c r="B98" s="52" t="s">
        <v>84</v>
      </c>
      <c r="C98" s="52" t="s">
        <v>85</v>
      </c>
      <c r="D98" s="52" t="s">
        <v>336</v>
      </c>
      <c r="E98" s="52">
        <v>4</v>
      </c>
      <c r="F98" s="52">
        <v>70.55</v>
      </c>
      <c r="G98" s="52">
        <v>6</v>
      </c>
      <c r="H98" s="54">
        <f>F98*G98/100</f>
        <v>4.2329999999999997</v>
      </c>
      <c r="I98" s="52">
        <v>10</v>
      </c>
      <c r="J98" s="52">
        <f>F98*I98/100</f>
        <v>7.0549999999999997</v>
      </c>
      <c r="K98" s="52"/>
      <c r="L98" s="52">
        <f>F98*K98/100</f>
        <v>0</v>
      </c>
      <c r="M98" s="52"/>
      <c r="N98" s="52">
        <v>25</v>
      </c>
      <c r="O98" s="52">
        <f>F98*N98/100</f>
        <v>17.637499999999999</v>
      </c>
      <c r="P98" s="52"/>
      <c r="Q98" s="52"/>
      <c r="R98" s="52">
        <v>40</v>
      </c>
      <c r="S98" s="52">
        <f>(F98+H98+J98+L98+M98+O98+Q98)*R98/100</f>
        <v>39.790199999999999</v>
      </c>
      <c r="T98" s="52">
        <v>30</v>
      </c>
      <c r="U98" s="52">
        <f>(F98+H98+J98+L98+M98+O98+Q98+S98)*30/100</f>
        <v>41.779709999999994</v>
      </c>
      <c r="V98" s="52">
        <v>30</v>
      </c>
      <c r="W98" s="52">
        <f>U98</f>
        <v>41.779709999999994</v>
      </c>
      <c r="X98" s="106">
        <f>F98+H98+J98+L98+M98+O98+Q98+S98+U98+W98</f>
        <v>222.82511999999997</v>
      </c>
      <c r="Y98" s="106">
        <f t="shared" si="86"/>
        <v>1.5228426395939085</v>
      </c>
      <c r="Z98" s="106">
        <f>X98*0.06</f>
        <v>13.369507199999997</v>
      </c>
      <c r="AA98" s="106">
        <f>X98*0.07</f>
        <v>15.5977584</v>
      </c>
      <c r="AB98" s="106">
        <f>X98+Y98+Z98+AA98</f>
        <v>253.31522823959386</v>
      </c>
      <c r="AC98" s="106">
        <f t="shared" si="106"/>
        <v>76.50119892835734</v>
      </c>
      <c r="AD98" s="106">
        <f t="shared" si="87"/>
        <v>24.824892367480199</v>
      </c>
      <c r="AE98" s="106">
        <f t="shared" si="88"/>
        <v>12.834216038759024</v>
      </c>
      <c r="AF98" s="106" t="s">
        <v>100</v>
      </c>
      <c r="AG98" s="106">
        <v>32.5</v>
      </c>
      <c r="AH98" s="106">
        <v>12.8</v>
      </c>
      <c r="AI98" s="130">
        <v>16.64</v>
      </c>
      <c r="AJ98" s="130">
        <v>17.536000000000001</v>
      </c>
      <c r="AK98" s="130">
        <v>18.560000000000002</v>
      </c>
      <c r="AL98" s="106">
        <f>(AI98*7+AJ98*2+AK98*3)/12</f>
        <v>17.269333333333336</v>
      </c>
      <c r="AM98" s="106">
        <f t="shared" si="81"/>
        <v>129.0882666666667</v>
      </c>
      <c r="AN98" s="106" t="s">
        <v>184</v>
      </c>
      <c r="AO98" s="106">
        <v>5.43</v>
      </c>
      <c r="AP98" s="106">
        <v>0.2</v>
      </c>
      <c r="AQ98" s="106">
        <f>AG98*AO98*AP98</f>
        <v>35.295000000000002</v>
      </c>
      <c r="AR98" s="106">
        <f>AM98+AQ98</f>
        <v>164.38326666666671</v>
      </c>
      <c r="AS98" s="106" t="s">
        <v>289</v>
      </c>
      <c r="AT98" s="106">
        <v>456</v>
      </c>
      <c r="AU98" s="106">
        <v>0.72</v>
      </c>
      <c r="AV98" s="106">
        <f t="shared" si="128"/>
        <v>13.040695296000003</v>
      </c>
      <c r="AW98" s="106">
        <v>50000</v>
      </c>
      <c r="AX98" s="106">
        <v>23</v>
      </c>
      <c r="AY98" s="106" t="s">
        <v>208</v>
      </c>
      <c r="AZ98" s="106">
        <v>4943.22</v>
      </c>
      <c r="BA98" s="106">
        <v>4</v>
      </c>
      <c r="BB98" s="106">
        <f t="shared" si="127"/>
        <v>9.0955247999999997</v>
      </c>
      <c r="BC98" s="106">
        <v>48.62</v>
      </c>
      <c r="BD98" s="106">
        <v>17.510000000000002</v>
      </c>
      <c r="BE98" s="106">
        <v>225.19</v>
      </c>
      <c r="BF98" s="106">
        <v>5.19</v>
      </c>
      <c r="BG98" s="106"/>
      <c r="BH98" s="149">
        <f t="shared" si="126"/>
        <v>837.67080629809811</v>
      </c>
      <c r="BI98" s="106">
        <f t="shared" si="89"/>
        <v>50.663045647918779</v>
      </c>
      <c r="BJ98" s="149">
        <f>BH98+AE98+BI98</f>
        <v>901.16806798477592</v>
      </c>
      <c r="BK98" s="154">
        <f>BH98-AD98</f>
        <v>812.84591393061794</v>
      </c>
      <c r="BL98" s="62"/>
      <c r="BM98" s="62"/>
      <c r="BN98" s="62"/>
      <c r="BO98" s="39"/>
      <c r="BS98" s="48"/>
    </row>
    <row r="99" spans="1:71" ht="94.5">
      <c r="A99" s="74">
        <v>86</v>
      </c>
      <c r="B99" s="55" t="s">
        <v>248</v>
      </c>
      <c r="C99" s="52" t="s">
        <v>222</v>
      </c>
      <c r="D99" s="52" t="s">
        <v>336</v>
      </c>
      <c r="E99" s="52">
        <v>4</v>
      </c>
      <c r="F99" s="52">
        <v>73.84</v>
      </c>
      <c r="G99" s="52">
        <v>0</v>
      </c>
      <c r="H99" s="54">
        <f t="shared" ref="H99:H104" si="129">F99*G99/100</f>
        <v>0</v>
      </c>
      <c r="I99" s="52"/>
      <c r="J99" s="52">
        <f t="shared" ref="J99:J104" si="130">F99*I99/100</f>
        <v>0</v>
      </c>
      <c r="K99" s="52"/>
      <c r="L99" s="52">
        <f t="shared" ref="L99:L104" si="131">F99*K99/100</f>
        <v>0</v>
      </c>
      <c r="M99" s="52"/>
      <c r="N99" s="52">
        <v>25</v>
      </c>
      <c r="O99" s="52">
        <f t="shared" ref="O99:O104" si="132">F99*N99/100</f>
        <v>18.46</v>
      </c>
      <c r="P99" s="52"/>
      <c r="Q99" s="52"/>
      <c r="R99" s="52">
        <v>40</v>
      </c>
      <c r="S99" s="52">
        <f t="shared" ref="S99:S104" si="133">(F99+H99+J99+L99+M99+O99+Q99)*R99/100</f>
        <v>36.92</v>
      </c>
      <c r="T99" s="52">
        <v>30</v>
      </c>
      <c r="U99" s="52">
        <f t="shared" ref="U99:U104" si="134">(F99+H99+J99+L99+M99+O99+Q99+S99)*30/100</f>
        <v>38.766000000000005</v>
      </c>
      <c r="V99" s="52">
        <v>30</v>
      </c>
      <c r="W99" s="52">
        <f t="shared" ref="W99:W104" si="135">U99</f>
        <v>38.766000000000005</v>
      </c>
      <c r="X99" s="106">
        <f t="shared" ref="X99:X104" si="136">F99+H99+J99+L99+M99+O99+Q99+S99+U99+W99</f>
        <v>206.75200000000007</v>
      </c>
      <c r="Y99" s="106">
        <f t="shared" si="86"/>
        <v>1.5228426395939085</v>
      </c>
      <c r="Z99" s="106">
        <f t="shared" ref="Z99:Z104" si="137">X99*0.06</f>
        <v>12.405120000000004</v>
      </c>
      <c r="AA99" s="106">
        <f t="shared" ref="AA99:AA104" si="138">X99*0.07</f>
        <v>14.472640000000006</v>
      </c>
      <c r="AB99" s="106">
        <f t="shared" ref="AB99:AB104" si="139">X99+Y99+Z99+AA99</f>
        <v>235.15260263959399</v>
      </c>
      <c r="AC99" s="106">
        <f t="shared" si="106"/>
        <v>71.01608599715739</v>
      </c>
      <c r="AD99" s="106">
        <f t="shared" si="87"/>
        <v>23.044955058680213</v>
      </c>
      <c r="AE99" s="106">
        <f t="shared" si="88"/>
        <v>11.914006612735031</v>
      </c>
      <c r="AF99" s="106" t="s">
        <v>101</v>
      </c>
      <c r="AG99" s="106">
        <v>31.43</v>
      </c>
      <c r="AH99" s="106">
        <v>9.83</v>
      </c>
      <c r="AI99" s="130">
        <v>12.4841</v>
      </c>
      <c r="AJ99" s="130">
        <v>13.172200000000002</v>
      </c>
      <c r="AK99" s="130">
        <v>13.958599999999999</v>
      </c>
      <c r="AL99" s="106">
        <f t="shared" ref="AL99:AL104" si="140">(AI99*7+AJ99*2+AK99*3)/12</f>
        <v>12.967408333333333</v>
      </c>
      <c r="AM99" s="106">
        <f t="shared" si="81"/>
        <v>93.740098100833336</v>
      </c>
      <c r="AN99" s="106"/>
      <c r="AO99" s="106"/>
      <c r="AP99" s="106"/>
      <c r="AQ99" s="106">
        <f t="shared" ref="AQ99:AQ104" si="141">AG99*AO99*AP99</f>
        <v>0</v>
      </c>
      <c r="AR99" s="106">
        <f t="shared" ref="AR99:AR104" si="142">AM99+AQ99</f>
        <v>93.740098100833336</v>
      </c>
      <c r="AS99" s="106" t="s">
        <v>289</v>
      </c>
      <c r="AT99" s="106">
        <v>456</v>
      </c>
      <c r="AU99" s="106">
        <v>0.72</v>
      </c>
      <c r="AV99" s="106">
        <f t="shared" si="128"/>
        <v>9.7921568591999986</v>
      </c>
      <c r="AW99" s="106">
        <v>33000</v>
      </c>
      <c r="AX99" s="106">
        <v>23</v>
      </c>
      <c r="AY99" s="106" t="s">
        <v>240</v>
      </c>
      <c r="AZ99" s="106">
        <v>5757.63</v>
      </c>
      <c r="BA99" s="106">
        <v>4</v>
      </c>
      <c r="BB99" s="106">
        <f t="shared" si="127"/>
        <v>16.051574545454546</v>
      </c>
      <c r="BC99" s="106">
        <v>48.62</v>
      </c>
      <c r="BD99" s="106">
        <v>17.510000000000002</v>
      </c>
      <c r="BE99" s="106">
        <v>112.52</v>
      </c>
      <c r="BF99" s="106">
        <v>5.19</v>
      </c>
      <c r="BG99" s="106"/>
      <c r="BH99" s="149">
        <f t="shared" ref="BH99:BH104" si="143">AB99+AC99+AD99+AR99+AV99+BB99+BC99+BD99+BE99+BF99</f>
        <v>632.63747320091954</v>
      </c>
      <c r="BI99" s="106">
        <f t="shared" si="89"/>
        <v>47.030520527918803</v>
      </c>
      <c r="BJ99" s="149">
        <f t="shared" ref="BJ99:BJ104" si="144">BH99+AE99+BI99</f>
        <v>691.58200034157346</v>
      </c>
      <c r="BK99" s="154"/>
      <c r="BL99" s="62"/>
      <c r="BM99" s="62"/>
      <c r="BN99" s="62"/>
      <c r="BO99" s="39"/>
      <c r="BS99" s="48"/>
    </row>
    <row r="100" spans="1:71" ht="94.5">
      <c r="A100" s="74">
        <v>87</v>
      </c>
      <c r="B100" s="55" t="s">
        <v>247</v>
      </c>
      <c r="C100" s="52" t="s">
        <v>223</v>
      </c>
      <c r="D100" s="52" t="s">
        <v>336</v>
      </c>
      <c r="E100" s="52">
        <v>4</v>
      </c>
      <c r="F100" s="52">
        <v>73.84</v>
      </c>
      <c r="G100" s="52">
        <v>0</v>
      </c>
      <c r="H100" s="54">
        <f t="shared" si="129"/>
        <v>0</v>
      </c>
      <c r="I100" s="52"/>
      <c r="J100" s="52">
        <f t="shared" si="130"/>
        <v>0</v>
      </c>
      <c r="K100" s="52"/>
      <c r="L100" s="52">
        <f t="shared" si="131"/>
        <v>0</v>
      </c>
      <c r="M100" s="52"/>
      <c r="N100" s="52">
        <v>25</v>
      </c>
      <c r="O100" s="52">
        <f t="shared" si="132"/>
        <v>18.46</v>
      </c>
      <c r="P100" s="52"/>
      <c r="Q100" s="52"/>
      <c r="R100" s="52">
        <v>40</v>
      </c>
      <c r="S100" s="52">
        <f t="shared" si="133"/>
        <v>36.92</v>
      </c>
      <c r="T100" s="52">
        <v>30</v>
      </c>
      <c r="U100" s="52">
        <f t="shared" si="134"/>
        <v>38.766000000000005</v>
      </c>
      <c r="V100" s="52">
        <v>30</v>
      </c>
      <c r="W100" s="52">
        <f t="shared" si="135"/>
        <v>38.766000000000005</v>
      </c>
      <c r="X100" s="106">
        <f t="shared" si="136"/>
        <v>206.75200000000007</v>
      </c>
      <c r="Y100" s="106">
        <f t="shared" si="86"/>
        <v>1.5228426395939085</v>
      </c>
      <c r="Z100" s="106">
        <f t="shared" si="137"/>
        <v>12.405120000000004</v>
      </c>
      <c r="AA100" s="106">
        <f t="shared" si="138"/>
        <v>14.472640000000006</v>
      </c>
      <c r="AB100" s="106">
        <f t="shared" si="139"/>
        <v>235.15260263959399</v>
      </c>
      <c r="AC100" s="106">
        <f t="shared" si="106"/>
        <v>71.01608599715739</v>
      </c>
      <c r="AD100" s="106">
        <f t="shared" si="87"/>
        <v>23.044955058680213</v>
      </c>
      <c r="AE100" s="106">
        <f t="shared" si="88"/>
        <v>11.914006612735031</v>
      </c>
      <c r="AF100" s="106" t="s">
        <v>101</v>
      </c>
      <c r="AG100" s="106">
        <v>31.43</v>
      </c>
      <c r="AH100" s="106">
        <v>6.96</v>
      </c>
      <c r="AI100" s="130">
        <v>8.8391999999999999</v>
      </c>
      <c r="AJ100" s="130">
        <v>9.3263999999999996</v>
      </c>
      <c r="AK100" s="130">
        <v>9.8832000000000004</v>
      </c>
      <c r="AL100" s="106">
        <f t="shared" si="140"/>
        <v>9.1813999999999982</v>
      </c>
      <c r="AM100" s="106">
        <f t="shared" si="81"/>
        <v>66.371422459999977</v>
      </c>
      <c r="AN100" s="106"/>
      <c r="AO100" s="106"/>
      <c r="AP100" s="106"/>
      <c r="AQ100" s="106">
        <f t="shared" si="141"/>
        <v>0</v>
      </c>
      <c r="AR100" s="106">
        <f t="shared" si="142"/>
        <v>66.371422459999977</v>
      </c>
      <c r="AS100" s="106" t="s">
        <v>289</v>
      </c>
      <c r="AT100" s="106">
        <v>456</v>
      </c>
      <c r="AU100" s="106">
        <v>0.72</v>
      </c>
      <c r="AV100" s="106">
        <f t="shared" si="128"/>
        <v>6.9332056703999969</v>
      </c>
      <c r="AW100" s="106">
        <v>33000</v>
      </c>
      <c r="AX100" s="106">
        <v>23</v>
      </c>
      <c r="AY100" s="106" t="s">
        <v>240</v>
      </c>
      <c r="AZ100" s="106">
        <v>5757.63</v>
      </c>
      <c r="BA100" s="106">
        <v>4</v>
      </c>
      <c r="BB100" s="106">
        <f t="shared" si="127"/>
        <v>16.051574545454546</v>
      </c>
      <c r="BC100" s="106">
        <v>48.62</v>
      </c>
      <c r="BD100" s="106">
        <v>17.510000000000002</v>
      </c>
      <c r="BE100" s="106">
        <v>99.72</v>
      </c>
      <c r="BF100" s="106">
        <v>5.19</v>
      </c>
      <c r="BG100" s="106"/>
      <c r="BH100" s="149">
        <f t="shared" si="143"/>
        <v>589.60984637128615</v>
      </c>
      <c r="BI100" s="106">
        <f t="shared" si="89"/>
        <v>47.030520527918803</v>
      </c>
      <c r="BJ100" s="149">
        <f t="shared" si="144"/>
        <v>648.55437351194007</v>
      </c>
      <c r="BK100" s="154"/>
      <c r="BL100" s="62"/>
      <c r="BM100" s="62"/>
      <c r="BN100" s="62"/>
      <c r="BO100" s="39"/>
      <c r="BS100" s="48"/>
    </row>
    <row r="101" spans="1:71" ht="94.5">
      <c r="A101" s="74">
        <v>88</v>
      </c>
      <c r="B101" s="55" t="s">
        <v>247</v>
      </c>
      <c r="C101" s="52" t="s">
        <v>224</v>
      </c>
      <c r="D101" s="52" t="s">
        <v>336</v>
      </c>
      <c r="E101" s="52">
        <v>4</v>
      </c>
      <c r="F101" s="52">
        <v>73.84</v>
      </c>
      <c r="G101" s="52">
        <v>0</v>
      </c>
      <c r="H101" s="54">
        <f t="shared" si="129"/>
        <v>0</v>
      </c>
      <c r="I101" s="52"/>
      <c r="J101" s="52">
        <f t="shared" si="130"/>
        <v>0</v>
      </c>
      <c r="K101" s="52"/>
      <c r="L101" s="52">
        <f t="shared" si="131"/>
        <v>0</v>
      </c>
      <c r="M101" s="52"/>
      <c r="N101" s="52">
        <v>25</v>
      </c>
      <c r="O101" s="52">
        <f t="shared" si="132"/>
        <v>18.46</v>
      </c>
      <c r="P101" s="52"/>
      <c r="Q101" s="52"/>
      <c r="R101" s="52">
        <v>40</v>
      </c>
      <c r="S101" s="52">
        <f t="shared" si="133"/>
        <v>36.92</v>
      </c>
      <c r="T101" s="52">
        <v>30</v>
      </c>
      <c r="U101" s="52">
        <f t="shared" si="134"/>
        <v>38.766000000000005</v>
      </c>
      <c r="V101" s="52">
        <v>30</v>
      </c>
      <c r="W101" s="52">
        <f t="shared" si="135"/>
        <v>38.766000000000005</v>
      </c>
      <c r="X101" s="106">
        <f t="shared" si="136"/>
        <v>206.75200000000007</v>
      </c>
      <c r="Y101" s="106">
        <f t="shared" si="86"/>
        <v>1.5228426395939085</v>
      </c>
      <c r="Z101" s="106">
        <f t="shared" si="137"/>
        <v>12.405120000000004</v>
      </c>
      <c r="AA101" s="106">
        <f t="shared" si="138"/>
        <v>14.472640000000006</v>
      </c>
      <c r="AB101" s="106">
        <f t="shared" si="139"/>
        <v>235.15260263959399</v>
      </c>
      <c r="AC101" s="106">
        <f t="shared" si="106"/>
        <v>71.01608599715739</v>
      </c>
      <c r="AD101" s="106">
        <f t="shared" si="87"/>
        <v>23.044955058680213</v>
      </c>
      <c r="AE101" s="106">
        <f t="shared" si="88"/>
        <v>11.914006612735031</v>
      </c>
      <c r="AF101" s="106" t="s">
        <v>101</v>
      </c>
      <c r="AG101" s="106">
        <v>31.43</v>
      </c>
      <c r="AH101" s="106">
        <v>6.96</v>
      </c>
      <c r="AI101" s="130">
        <v>8.8391999999999999</v>
      </c>
      <c r="AJ101" s="130">
        <v>9.3263999999999996</v>
      </c>
      <c r="AK101" s="130">
        <v>9.8832000000000004</v>
      </c>
      <c r="AL101" s="106">
        <f t="shared" si="140"/>
        <v>9.1813999999999982</v>
      </c>
      <c r="AM101" s="106">
        <f t="shared" si="81"/>
        <v>66.371422459999977</v>
      </c>
      <c r="AN101" s="106"/>
      <c r="AO101" s="106"/>
      <c r="AP101" s="106"/>
      <c r="AQ101" s="106">
        <f t="shared" si="141"/>
        <v>0</v>
      </c>
      <c r="AR101" s="106">
        <f t="shared" si="142"/>
        <v>66.371422459999977</v>
      </c>
      <c r="AS101" s="106" t="s">
        <v>289</v>
      </c>
      <c r="AT101" s="106">
        <v>456</v>
      </c>
      <c r="AU101" s="106">
        <v>0.72</v>
      </c>
      <c r="AV101" s="106">
        <f t="shared" si="128"/>
        <v>6.9332056703999969</v>
      </c>
      <c r="AW101" s="106">
        <v>33000</v>
      </c>
      <c r="AX101" s="106">
        <v>23</v>
      </c>
      <c r="AY101" s="106" t="s">
        <v>240</v>
      </c>
      <c r="AZ101" s="106">
        <v>5757.63</v>
      </c>
      <c r="BA101" s="106">
        <v>4</v>
      </c>
      <c r="BB101" s="106">
        <f t="shared" si="127"/>
        <v>16.051574545454546</v>
      </c>
      <c r="BC101" s="106">
        <v>48.62</v>
      </c>
      <c r="BD101" s="106">
        <v>17.510000000000002</v>
      </c>
      <c r="BE101" s="106">
        <v>99.72</v>
      </c>
      <c r="BF101" s="106">
        <v>5.19</v>
      </c>
      <c r="BG101" s="106"/>
      <c r="BH101" s="149">
        <f t="shared" si="143"/>
        <v>589.60984637128615</v>
      </c>
      <c r="BI101" s="106">
        <f t="shared" si="89"/>
        <v>47.030520527918803</v>
      </c>
      <c r="BJ101" s="149">
        <f t="shared" si="144"/>
        <v>648.55437351194007</v>
      </c>
      <c r="BK101" s="154"/>
      <c r="BL101" s="62"/>
      <c r="BM101" s="62"/>
      <c r="BN101" s="62"/>
      <c r="BO101" s="39"/>
      <c r="BS101" s="48"/>
    </row>
    <row r="102" spans="1:71" ht="94.5">
      <c r="A102" s="74">
        <v>89</v>
      </c>
      <c r="B102" s="55" t="s">
        <v>247</v>
      </c>
      <c r="C102" s="52" t="s">
        <v>296</v>
      </c>
      <c r="D102" s="52" t="s">
        <v>336</v>
      </c>
      <c r="E102" s="52">
        <v>1</v>
      </c>
      <c r="F102" s="52">
        <v>73.84</v>
      </c>
      <c r="G102" s="52">
        <v>0</v>
      </c>
      <c r="H102" s="54">
        <f t="shared" si="129"/>
        <v>0</v>
      </c>
      <c r="I102" s="52"/>
      <c r="J102" s="52">
        <f t="shared" si="130"/>
        <v>0</v>
      </c>
      <c r="K102" s="52"/>
      <c r="L102" s="52">
        <f t="shared" si="131"/>
        <v>0</v>
      </c>
      <c r="M102" s="52"/>
      <c r="N102" s="52">
        <v>25</v>
      </c>
      <c r="O102" s="52">
        <f t="shared" si="132"/>
        <v>18.46</v>
      </c>
      <c r="P102" s="52"/>
      <c r="Q102" s="52"/>
      <c r="R102" s="52">
        <v>40</v>
      </c>
      <c r="S102" s="52">
        <f t="shared" si="133"/>
        <v>36.92</v>
      </c>
      <c r="T102" s="52">
        <v>30</v>
      </c>
      <c r="U102" s="52">
        <f t="shared" si="134"/>
        <v>38.766000000000005</v>
      </c>
      <c r="V102" s="52">
        <v>30</v>
      </c>
      <c r="W102" s="52">
        <f t="shared" si="135"/>
        <v>38.766000000000005</v>
      </c>
      <c r="X102" s="106">
        <f t="shared" si="136"/>
        <v>206.75200000000007</v>
      </c>
      <c r="Y102" s="106">
        <f t="shared" si="86"/>
        <v>1.5228426395939085</v>
      </c>
      <c r="Z102" s="106">
        <f t="shared" si="137"/>
        <v>12.405120000000004</v>
      </c>
      <c r="AA102" s="106">
        <f t="shared" si="138"/>
        <v>14.472640000000006</v>
      </c>
      <c r="AB102" s="106">
        <f t="shared" si="139"/>
        <v>235.15260263959399</v>
      </c>
      <c r="AC102" s="106">
        <f t="shared" si="106"/>
        <v>71.01608599715739</v>
      </c>
      <c r="AD102" s="106">
        <f t="shared" si="87"/>
        <v>23.044955058680213</v>
      </c>
      <c r="AE102" s="106">
        <f t="shared" si="88"/>
        <v>11.914006612735031</v>
      </c>
      <c r="AF102" s="106" t="s">
        <v>101</v>
      </c>
      <c r="AG102" s="106">
        <v>31.43</v>
      </c>
      <c r="AH102" s="106">
        <v>6.96</v>
      </c>
      <c r="AI102" s="130">
        <v>8.8391999999999999</v>
      </c>
      <c r="AJ102" s="130">
        <v>9.3263999999999996</v>
      </c>
      <c r="AK102" s="130">
        <v>9.8832000000000004</v>
      </c>
      <c r="AL102" s="106">
        <f t="shared" si="140"/>
        <v>9.1813999999999982</v>
      </c>
      <c r="AM102" s="106">
        <f t="shared" si="81"/>
        <v>66.371422459999977</v>
      </c>
      <c r="AN102" s="106"/>
      <c r="AO102" s="106"/>
      <c r="AP102" s="106"/>
      <c r="AQ102" s="106">
        <f t="shared" si="141"/>
        <v>0</v>
      </c>
      <c r="AR102" s="106">
        <f t="shared" si="142"/>
        <v>66.371422459999977</v>
      </c>
      <c r="AS102" s="106" t="s">
        <v>289</v>
      </c>
      <c r="AT102" s="106">
        <v>456</v>
      </c>
      <c r="AU102" s="106">
        <v>0.72</v>
      </c>
      <c r="AV102" s="106">
        <f t="shared" si="128"/>
        <v>6.9332056703999969</v>
      </c>
      <c r="AW102" s="106">
        <v>33000</v>
      </c>
      <c r="AX102" s="106">
        <v>23</v>
      </c>
      <c r="AY102" s="106" t="s">
        <v>240</v>
      </c>
      <c r="AZ102" s="106">
        <v>5757.63</v>
      </c>
      <c r="BA102" s="106">
        <v>4</v>
      </c>
      <c r="BB102" s="106">
        <f t="shared" si="127"/>
        <v>16.051574545454546</v>
      </c>
      <c r="BC102" s="106">
        <v>48.62</v>
      </c>
      <c r="BD102" s="106">
        <v>17.510000000000002</v>
      </c>
      <c r="BE102" s="106">
        <v>99.72</v>
      </c>
      <c r="BF102" s="106">
        <v>5.19</v>
      </c>
      <c r="BG102" s="106"/>
      <c r="BH102" s="149">
        <f t="shared" si="143"/>
        <v>589.60984637128615</v>
      </c>
      <c r="BI102" s="106">
        <f t="shared" si="89"/>
        <v>47.030520527918803</v>
      </c>
      <c r="BJ102" s="149">
        <f t="shared" si="144"/>
        <v>648.55437351194007</v>
      </c>
      <c r="BK102" s="154"/>
      <c r="BL102" s="62"/>
      <c r="BM102" s="62"/>
      <c r="BN102" s="62"/>
      <c r="BO102" s="39"/>
      <c r="BS102" s="48"/>
    </row>
    <row r="103" spans="1:71" ht="94.5">
      <c r="A103" s="98">
        <v>90</v>
      </c>
      <c r="B103" s="63" t="s">
        <v>323</v>
      </c>
      <c r="C103" s="10" t="s">
        <v>327</v>
      </c>
      <c r="D103" s="52" t="s">
        <v>336</v>
      </c>
      <c r="E103" s="10">
        <v>4</v>
      </c>
      <c r="F103" s="64">
        <v>70.55</v>
      </c>
      <c r="G103" s="10">
        <v>0</v>
      </c>
      <c r="H103" s="65">
        <f t="shared" si="129"/>
        <v>0</v>
      </c>
      <c r="I103" s="10"/>
      <c r="J103" s="10">
        <f t="shared" si="130"/>
        <v>0</v>
      </c>
      <c r="K103" s="10"/>
      <c r="L103" s="10">
        <f t="shared" si="131"/>
        <v>0</v>
      </c>
      <c r="M103" s="10"/>
      <c r="N103" s="10">
        <v>25</v>
      </c>
      <c r="O103" s="10">
        <f t="shared" si="132"/>
        <v>17.637499999999999</v>
      </c>
      <c r="P103" s="10"/>
      <c r="Q103" s="10"/>
      <c r="R103" s="10">
        <v>40</v>
      </c>
      <c r="S103" s="10">
        <f t="shared" si="133"/>
        <v>35.274999999999999</v>
      </c>
      <c r="T103" s="10">
        <v>30</v>
      </c>
      <c r="U103" s="10">
        <f t="shared" si="134"/>
        <v>37.03875</v>
      </c>
      <c r="V103" s="10">
        <v>30</v>
      </c>
      <c r="W103" s="10">
        <f t="shared" si="135"/>
        <v>37.03875</v>
      </c>
      <c r="X103" s="66">
        <f t="shared" si="136"/>
        <v>197.54</v>
      </c>
      <c r="Y103" s="66">
        <f>3000/1986</f>
        <v>1.5105740181268883</v>
      </c>
      <c r="Z103" s="66">
        <f t="shared" si="137"/>
        <v>11.852399999999999</v>
      </c>
      <c r="AA103" s="66">
        <f t="shared" si="138"/>
        <v>13.827800000000002</v>
      </c>
      <c r="AB103" s="66">
        <f t="shared" si="139"/>
        <v>224.73077401812685</v>
      </c>
      <c r="AC103" s="106">
        <f t="shared" si="106"/>
        <v>67.868693753474304</v>
      </c>
      <c r="AD103" s="106">
        <f t="shared" si="87"/>
        <v>22.023615853776434</v>
      </c>
      <c r="AE103" s="106">
        <f t="shared" si="88"/>
        <v>11.385984665628399</v>
      </c>
      <c r="AF103" s="66" t="s">
        <v>97</v>
      </c>
      <c r="AG103" s="129">
        <v>32.83</v>
      </c>
      <c r="AH103" s="66">
        <v>13</v>
      </c>
      <c r="AI103" s="67">
        <v>17.809999999999999</v>
      </c>
      <c r="AJ103" s="67">
        <v>18.720000000000002</v>
      </c>
      <c r="AK103" s="67">
        <v>19.760000000000002</v>
      </c>
      <c r="AL103" s="66">
        <f t="shared" si="140"/>
        <v>18.449166666666667</v>
      </c>
      <c r="AM103" s="66">
        <f t="shared" si="81"/>
        <v>139.30781258333334</v>
      </c>
      <c r="AN103" s="66"/>
      <c r="AO103" s="66"/>
      <c r="AP103" s="66"/>
      <c r="AQ103" s="66">
        <f t="shared" si="141"/>
        <v>0</v>
      </c>
      <c r="AR103" s="66">
        <f t="shared" si="142"/>
        <v>139.30781258333334</v>
      </c>
      <c r="AS103" s="66" t="s">
        <v>289</v>
      </c>
      <c r="AT103" s="66">
        <v>456</v>
      </c>
      <c r="AU103" s="66">
        <v>0.6</v>
      </c>
      <c r="AV103" s="66">
        <f>AU103/100*AL103*0.23*AT103</f>
        <v>11.609691600000001</v>
      </c>
      <c r="AW103" s="66">
        <v>50000</v>
      </c>
      <c r="AX103" s="66">
        <v>23</v>
      </c>
      <c r="AY103" s="66" t="s">
        <v>208</v>
      </c>
      <c r="AZ103" s="106">
        <v>4943.22</v>
      </c>
      <c r="BA103" s="66">
        <v>4</v>
      </c>
      <c r="BB103" s="66">
        <f t="shared" si="127"/>
        <v>9.0955247999999997</v>
      </c>
      <c r="BC103" s="106">
        <v>48.62</v>
      </c>
      <c r="BD103" s="106">
        <v>17.510000000000002</v>
      </c>
      <c r="BE103" s="66">
        <v>331.26</v>
      </c>
      <c r="BF103" s="106">
        <v>5.19</v>
      </c>
      <c r="BG103" s="106"/>
      <c r="BH103" s="150">
        <f t="shared" si="143"/>
        <v>877.216112608711</v>
      </c>
      <c r="BI103" s="106">
        <f t="shared" si="89"/>
        <v>44.946154803625376</v>
      </c>
      <c r="BJ103" s="150">
        <f t="shared" si="144"/>
        <v>933.54825207796478</v>
      </c>
      <c r="BK103" s="155">
        <f>BH103-AD103</f>
        <v>855.19249675493461</v>
      </c>
      <c r="BL103" s="62"/>
      <c r="BM103" s="62"/>
      <c r="BN103" s="62"/>
      <c r="BO103" s="39"/>
      <c r="BS103" s="48"/>
    </row>
    <row r="104" spans="1:71" ht="94.5">
      <c r="A104" s="40" t="s">
        <v>179</v>
      </c>
      <c r="B104" s="16" t="s">
        <v>324</v>
      </c>
      <c r="C104" s="10" t="s">
        <v>326</v>
      </c>
      <c r="D104" s="52" t="s">
        <v>336</v>
      </c>
      <c r="E104" s="10">
        <v>4</v>
      </c>
      <c r="F104" s="52">
        <v>73.84</v>
      </c>
      <c r="G104" s="10">
        <v>0</v>
      </c>
      <c r="H104" s="65">
        <f t="shared" si="129"/>
        <v>0</v>
      </c>
      <c r="I104" s="10"/>
      <c r="J104" s="10">
        <f t="shared" si="130"/>
        <v>0</v>
      </c>
      <c r="K104" s="10"/>
      <c r="L104" s="10">
        <f t="shared" si="131"/>
        <v>0</v>
      </c>
      <c r="M104" s="10"/>
      <c r="N104" s="10">
        <v>25</v>
      </c>
      <c r="O104" s="10">
        <f t="shared" si="132"/>
        <v>18.46</v>
      </c>
      <c r="P104" s="10"/>
      <c r="Q104" s="10"/>
      <c r="R104" s="10">
        <v>40</v>
      </c>
      <c r="S104" s="10">
        <f t="shared" si="133"/>
        <v>36.92</v>
      </c>
      <c r="T104" s="10">
        <v>30</v>
      </c>
      <c r="U104" s="10">
        <f t="shared" si="134"/>
        <v>38.766000000000005</v>
      </c>
      <c r="V104" s="10">
        <v>30</v>
      </c>
      <c r="W104" s="10">
        <f t="shared" si="135"/>
        <v>38.766000000000005</v>
      </c>
      <c r="X104" s="66">
        <f t="shared" si="136"/>
        <v>206.75200000000007</v>
      </c>
      <c r="Y104" s="66">
        <f>3000/1986</f>
        <v>1.5105740181268883</v>
      </c>
      <c r="Z104" s="66">
        <f t="shared" si="137"/>
        <v>12.405120000000004</v>
      </c>
      <c r="AA104" s="66">
        <f t="shared" si="138"/>
        <v>14.472640000000006</v>
      </c>
      <c r="AB104" s="66">
        <f t="shared" si="139"/>
        <v>235.14033401812696</v>
      </c>
      <c r="AC104" s="106">
        <f t="shared" si="106"/>
        <v>71.012380873474342</v>
      </c>
      <c r="AD104" s="106">
        <f t="shared" si="87"/>
        <v>23.043752733776444</v>
      </c>
      <c r="AE104" s="106">
        <f t="shared" si="88"/>
        <v>11.913385023028404</v>
      </c>
      <c r="AF104" s="66" t="s">
        <v>97</v>
      </c>
      <c r="AG104" s="129">
        <v>32.83</v>
      </c>
      <c r="AH104" s="66">
        <v>9.5</v>
      </c>
      <c r="AI104" s="67">
        <v>12.065000000000001</v>
      </c>
      <c r="AJ104" s="67">
        <v>12.73</v>
      </c>
      <c r="AK104" s="67">
        <v>13.489999999999998</v>
      </c>
      <c r="AL104" s="66">
        <f t="shared" si="140"/>
        <v>12.532083333333334</v>
      </c>
      <c r="AM104" s="66">
        <f t="shared" si="81"/>
        <v>94.628508041666663</v>
      </c>
      <c r="AN104" s="66"/>
      <c r="AO104" s="66"/>
      <c r="AP104" s="66"/>
      <c r="AQ104" s="66">
        <f t="shared" si="141"/>
        <v>0</v>
      </c>
      <c r="AR104" s="66">
        <f t="shared" si="142"/>
        <v>94.628508041666663</v>
      </c>
      <c r="AS104" s="66" t="s">
        <v>289</v>
      </c>
      <c r="AT104" s="66">
        <v>456</v>
      </c>
      <c r="AU104" s="66">
        <v>0.6</v>
      </c>
      <c r="AV104" s="66">
        <f>AL104*AU104/100*AT104</f>
        <v>34.287780000000005</v>
      </c>
      <c r="AW104" s="66">
        <v>50000</v>
      </c>
      <c r="AX104" s="66">
        <v>23</v>
      </c>
      <c r="AY104" s="66" t="s">
        <v>325</v>
      </c>
      <c r="AZ104" s="66">
        <v>3231</v>
      </c>
      <c r="BA104" s="66">
        <v>4</v>
      </c>
      <c r="BB104" s="66">
        <f t="shared" si="127"/>
        <v>5.9450399999999997</v>
      </c>
      <c r="BC104" s="106">
        <v>48.62</v>
      </c>
      <c r="BD104" s="106">
        <v>17.510000000000002</v>
      </c>
      <c r="BE104" s="66">
        <v>331.26</v>
      </c>
      <c r="BF104" s="106">
        <v>5.19</v>
      </c>
      <c r="BG104" s="106"/>
      <c r="BH104" s="150">
        <f t="shared" si="143"/>
        <v>866.63779566704443</v>
      </c>
      <c r="BI104" s="106">
        <f t="shared" si="89"/>
        <v>47.028066803625393</v>
      </c>
      <c r="BJ104" s="150">
        <f t="shared" si="144"/>
        <v>925.57924749369818</v>
      </c>
      <c r="BK104" s="155"/>
      <c r="BL104" s="62"/>
      <c r="BM104" s="62"/>
      <c r="BN104" s="62"/>
      <c r="BO104" s="39"/>
      <c r="BS104" s="48"/>
    </row>
    <row r="105" spans="1:71" ht="76.5">
      <c r="A105" s="41" t="s">
        <v>418</v>
      </c>
      <c r="B105" s="63" t="s">
        <v>401</v>
      </c>
      <c r="C105" s="16" t="s">
        <v>402</v>
      </c>
      <c r="D105" s="16" t="s">
        <v>336</v>
      </c>
      <c r="E105" s="16">
        <v>4</v>
      </c>
      <c r="F105" s="52">
        <v>56.44</v>
      </c>
      <c r="G105" s="52">
        <v>0</v>
      </c>
      <c r="H105" s="54">
        <f>F105*G105/100</f>
        <v>0</v>
      </c>
      <c r="I105" s="52"/>
      <c r="J105" s="52">
        <f>F105*I105/100</f>
        <v>0</v>
      </c>
      <c r="K105" s="52"/>
      <c r="L105" s="52">
        <f>F105*K105/100</f>
        <v>0</v>
      </c>
      <c r="M105" s="52"/>
      <c r="N105" s="52">
        <v>25</v>
      </c>
      <c r="O105" s="52">
        <f>F105*N105/100</f>
        <v>14.11</v>
      </c>
      <c r="P105" s="52"/>
      <c r="Q105" s="52"/>
      <c r="R105" s="52">
        <v>40</v>
      </c>
      <c r="S105" s="52">
        <f t="shared" ref="S105:S135" si="145">(F105+H105+J105+L105+M105+O105+Q105)*R105/100</f>
        <v>28.22</v>
      </c>
      <c r="T105" s="52">
        <v>30</v>
      </c>
      <c r="U105" s="52">
        <f t="shared" ref="U105:U135" si="146">(F105+H105+J105+L105+M105+O105+Q105+S105)*30/100</f>
        <v>29.631</v>
      </c>
      <c r="V105" s="52">
        <v>30</v>
      </c>
      <c r="W105" s="52">
        <f t="shared" ref="W105:W135" si="147">U105</f>
        <v>29.631</v>
      </c>
      <c r="X105" s="106">
        <f t="shared" ref="X105:X135" si="148">F105+H105+J105+L105+M105+O105+Q105+S105+U105+W105</f>
        <v>158.03200000000001</v>
      </c>
      <c r="Y105" s="106">
        <f t="shared" ref="Y105:Y129" si="149">3000/1970</f>
        <v>1.5228426395939085</v>
      </c>
      <c r="Z105" s="106">
        <f t="shared" ref="Z105:Z116" si="150">X105*0.06</f>
        <v>9.4819200000000006</v>
      </c>
      <c r="AA105" s="106">
        <f t="shared" ref="AA105:AA135" si="151">X105*0.07</f>
        <v>11.062240000000001</v>
      </c>
      <c r="AB105" s="106">
        <f t="shared" ref="AB105:AB135" si="152">X105+Y105+Z105+AA105</f>
        <v>180.09900263959392</v>
      </c>
      <c r="AC105" s="106">
        <f t="shared" si="106"/>
        <v>54.389898797157365</v>
      </c>
      <c r="AD105" s="106">
        <f t="shared" si="87"/>
        <v>17.649702258680204</v>
      </c>
      <c r="AE105" s="106">
        <f t="shared" si="88"/>
        <v>9.1247159687350266</v>
      </c>
      <c r="AF105" s="66" t="s">
        <v>97</v>
      </c>
      <c r="AG105" s="129">
        <v>32.83</v>
      </c>
      <c r="AH105" s="132">
        <v>10.9</v>
      </c>
      <c r="AI105" s="67">
        <v>14.93</v>
      </c>
      <c r="AJ105" s="67">
        <v>15.7</v>
      </c>
      <c r="AK105" s="67">
        <v>16.57</v>
      </c>
      <c r="AL105" s="66">
        <f>(AI105*7+AJ105*2+AK105*3)/12</f>
        <v>15.468333333333334</v>
      </c>
      <c r="AM105" s="66">
        <f t="shared" si="81"/>
        <v>116.79983816666666</v>
      </c>
      <c r="AN105" s="66"/>
      <c r="AO105" s="66"/>
      <c r="AP105" s="66"/>
      <c r="AQ105" s="66">
        <f>AG105*AO105*AP105</f>
        <v>0</v>
      </c>
      <c r="AR105" s="66">
        <f>AM105+AQ105</f>
        <v>116.79983816666666</v>
      </c>
      <c r="AS105" s="64" t="s">
        <v>345</v>
      </c>
      <c r="AT105" s="64">
        <v>201.7</v>
      </c>
      <c r="AU105" s="64">
        <v>0.6</v>
      </c>
      <c r="AV105" s="64">
        <f>AL105/100*23*AU105/100*AT105</f>
        <v>4.3055487099999992</v>
      </c>
      <c r="AW105" s="133">
        <v>50000</v>
      </c>
      <c r="AX105" s="133">
        <v>23</v>
      </c>
      <c r="AY105" s="133" t="s">
        <v>403</v>
      </c>
      <c r="AZ105" s="106">
        <v>3825</v>
      </c>
      <c r="BA105" s="64">
        <v>4</v>
      </c>
      <c r="BB105" s="133">
        <f>AX105/AW105*(3825*4)</f>
        <v>7.0380000000000003</v>
      </c>
      <c r="BC105" s="106">
        <v>48.62</v>
      </c>
      <c r="BD105" s="106">
        <v>17.510000000000002</v>
      </c>
      <c r="BE105" s="66">
        <v>189.12</v>
      </c>
      <c r="BF105" s="106">
        <v>5.19</v>
      </c>
      <c r="BG105" s="106"/>
      <c r="BH105" s="150">
        <f>AB105+AC105+AD105+AR105+AV105+BB105+BC105+BD105+BE105+BF105</f>
        <v>640.72199057209821</v>
      </c>
      <c r="BI105" s="106">
        <f t="shared" si="89"/>
        <v>36.019800527918783</v>
      </c>
      <c r="BJ105" s="150">
        <f>BH105+AE105+BI105</f>
        <v>685.86650706875196</v>
      </c>
      <c r="BK105" s="155">
        <f>BH105-AD105</f>
        <v>623.07228831341797</v>
      </c>
      <c r="BL105" s="62"/>
      <c r="BM105" s="62"/>
      <c r="BN105" s="62"/>
      <c r="BO105" s="39"/>
      <c r="BS105" s="48"/>
    </row>
    <row r="106" spans="1:71" ht="94.5">
      <c r="A106" s="40" t="s">
        <v>419</v>
      </c>
      <c r="B106" s="63" t="s">
        <v>406</v>
      </c>
      <c r="C106" s="16" t="s">
        <v>407</v>
      </c>
      <c r="D106" s="16" t="s">
        <v>336</v>
      </c>
      <c r="E106" s="16">
        <v>4</v>
      </c>
      <c r="F106" s="64">
        <v>70.55</v>
      </c>
      <c r="G106" s="10">
        <v>0</v>
      </c>
      <c r="H106" s="65">
        <f>F106*G106/100</f>
        <v>0</v>
      </c>
      <c r="I106" s="10"/>
      <c r="J106" s="10">
        <f>F106*I106/100</f>
        <v>0</v>
      </c>
      <c r="K106" s="10"/>
      <c r="L106" s="10">
        <f>F106*K106/100</f>
        <v>0</v>
      </c>
      <c r="M106" s="10"/>
      <c r="N106" s="10">
        <v>25</v>
      </c>
      <c r="O106" s="10">
        <f>F106*N106/100</f>
        <v>17.637499999999999</v>
      </c>
      <c r="P106" s="10"/>
      <c r="Q106" s="10"/>
      <c r="R106" s="10">
        <v>40</v>
      </c>
      <c r="S106" s="10">
        <f t="shared" si="145"/>
        <v>35.274999999999999</v>
      </c>
      <c r="T106" s="10">
        <v>30</v>
      </c>
      <c r="U106" s="10">
        <f t="shared" si="146"/>
        <v>37.03875</v>
      </c>
      <c r="V106" s="10">
        <v>30</v>
      </c>
      <c r="W106" s="10">
        <f t="shared" si="147"/>
        <v>37.03875</v>
      </c>
      <c r="X106" s="66">
        <f t="shared" si="148"/>
        <v>197.54</v>
      </c>
      <c r="Y106" s="66">
        <f t="shared" si="149"/>
        <v>1.5228426395939085</v>
      </c>
      <c r="Z106" s="66">
        <f t="shared" si="150"/>
        <v>11.852399999999999</v>
      </c>
      <c r="AA106" s="66">
        <f t="shared" si="151"/>
        <v>13.827800000000002</v>
      </c>
      <c r="AB106" s="66">
        <f t="shared" si="152"/>
        <v>224.74304263959388</v>
      </c>
      <c r="AC106" s="106">
        <f t="shared" si="106"/>
        <v>67.872398877157352</v>
      </c>
      <c r="AD106" s="106">
        <f t="shared" si="87"/>
        <v>22.024818178680203</v>
      </c>
      <c r="AE106" s="106">
        <f t="shared" si="88"/>
        <v>11.386606255335025</v>
      </c>
      <c r="AF106" s="66" t="s">
        <v>97</v>
      </c>
      <c r="AG106" s="129">
        <v>32.83</v>
      </c>
      <c r="AH106" s="135">
        <v>10.5</v>
      </c>
      <c r="AI106" s="67">
        <v>13.2</v>
      </c>
      <c r="AJ106" s="67">
        <v>14.12</v>
      </c>
      <c r="AK106" s="67">
        <v>15.18</v>
      </c>
      <c r="AL106" s="66">
        <f>(AI106*7+AJ106*2+AK106*3)/12</f>
        <v>13.848333333333331</v>
      </c>
      <c r="AM106" s="66">
        <f t="shared" si="81"/>
        <v>104.56738016666665</v>
      </c>
      <c r="AN106" s="106"/>
      <c r="AO106" s="66"/>
      <c r="AP106" s="66"/>
      <c r="AQ106" s="66">
        <f>AG106*AO106*AP106</f>
        <v>0</v>
      </c>
      <c r="AR106" s="66">
        <f>AM106+AQ106</f>
        <v>104.56738016666665</v>
      </c>
      <c r="AS106" s="66" t="s">
        <v>289</v>
      </c>
      <c r="AT106" s="66">
        <v>456</v>
      </c>
      <c r="AU106" s="66">
        <v>0.6</v>
      </c>
      <c r="AV106" s="66">
        <f>AU106/100*AL106*0.23*AT106</f>
        <v>8.7144791999999995</v>
      </c>
      <c r="AW106" s="66">
        <v>50000</v>
      </c>
      <c r="AX106" s="66">
        <v>23</v>
      </c>
      <c r="AY106" s="66" t="s">
        <v>208</v>
      </c>
      <c r="AZ106" s="106">
        <v>4943.22</v>
      </c>
      <c r="BA106" s="66">
        <v>4</v>
      </c>
      <c r="BB106" s="66">
        <f>AZ106*BA106/AW106*AX106</f>
        <v>9.0955247999999997</v>
      </c>
      <c r="BC106" s="106">
        <v>48.62</v>
      </c>
      <c r="BD106" s="106">
        <v>17.510000000000002</v>
      </c>
      <c r="BE106" s="66">
        <v>1039.23</v>
      </c>
      <c r="BF106" s="106">
        <v>5.19</v>
      </c>
      <c r="BG106" s="66"/>
      <c r="BH106" s="150">
        <f>AB106+AC106+AD106+AR106+AV106+BB106+BC106+BD106+BE106+BF106+BG106+AB107+AC107+AR107+AB108+AC108</f>
        <v>2321.1975517596006</v>
      </c>
      <c r="BI106" s="106">
        <f t="shared" si="89"/>
        <v>44.948608527918779</v>
      </c>
      <c r="BJ106" s="150">
        <f>BH106+AE106+BI106</f>
        <v>2377.5327665428545</v>
      </c>
      <c r="BK106" s="155">
        <f>BH106-AD106</f>
        <v>2299.1727335809205</v>
      </c>
      <c r="BL106" s="62"/>
      <c r="BM106" s="62"/>
      <c r="BN106" s="62"/>
      <c r="BO106" s="39"/>
      <c r="BS106" s="48"/>
    </row>
    <row r="107" spans="1:71" ht="126">
      <c r="A107" s="41"/>
      <c r="B107" s="55"/>
      <c r="C107" s="52"/>
      <c r="D107" s="82" t="s">
        <v>408</v>
      </c>
      <c r="E107" s="52"/>
      <c r="F107" s="53">
        <v>133.11000000000001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10">
        <v>40</v>
      </c>
      <c r="S107" s="10">
        <f t="shared" si="145"/>
        <v>53.244000000000007</v>
      </c>
      <c r="T107" s="10">
        <v>30</v>
      </c>
      <c r="U107" s="10">
        <f t="shared" si="146"/>
        <v>55.906200000000005</v>
      </c>
      <c r="V107" s="10">
        <v>30</v>
      </c>
      <c r="W107" s="10">
        <f t="shared" si="147"/>
        <v>55.906200000000005</v>
      </c>
      <c r="X107" s="66">
        <f t="shared" si="148"/>
        <v>298.16640000000001</v>
      </c>
      <c r="Y107" s="66">
        <f t="shared" si="149"/>
        <v>1.5228426395939085</v>
      </c>
      <c r="Z107" s="66">
        <f t="shared" si="150"/>
        <v>17.889983999999998</v>
      </c>
      <c r="AA107" s="66">
        <f t="shared" si="151"/>
        <v>20.871648000000004</v>
      </c>
      <c r="AB107" s="66">
        <f t="shared" si="152"/>
        <v>338.45087463959391</v>
      </c>
      <c r="AC107" s="66">
        <f t="shared" ref="AC107:AC135" si="153">AB107*0.302</f>
        <v>102.21216414115736</v>
      </c>
      <c r="AD107" s="106"/>
      <c r="AE107" s="106"/>
      <c r="AF107" s="106" t="s">
        <v>409</v>
      </c>
      <c r="AG107" s="106">
        <v>1.79</v>
      </c>
      <c r="AH107" s="130"/>
      <c r="AI107" s="130"/>
      <c r="AJ107" s="130"/>
      <c r="AK107" s="130"/>
      <c r="AL107" s="106"/>
      <c r="AM107" s="106"/>
      <c r="AN107" s="136" t="s">
        <v>410</v>
      </c>
      <c r="AO107" s="106">
        <v>10</v>
      </c>
      <c r="AP107" s="106"/>
      <c r="AQ107" s="106"/>
      <c r="AR107" s="106">
        <f>AG107*AO107</f>
        <v>17.899999999999999</v>
      </c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49"/>
      <c r="BI107" s="106"/>
      <c r="BJ107" s="149"/>
      <c r="BK107" s="154"/>
      <c r="BL107" s="62"/>
      <c r="BM107" s="62"/>
      <c r="BN107" s="62"/>
      <c r="BO107" s="39"/>
      <c r="BS107" s="48"/>
    </row>
    <row r="108" spans="1:71" ht="47.25">
      <c r="A108" s="41"/>
      <c r="B108" s="107"/>
      <c r="C108" s="10"/>
      <c r="D108" s="82" t="s">
        <v>411</v>
      </c>
      <c r="E108" s="10"/>
      <c r="F108" s="10">
        <v>95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>
        <v>40</v>
      </c>
      <c r="S108" s="10">
        <f t="shared" si="145"/>
        <v>38</v>
      </c>
      <c r="T108" s="10">
        <v>30</v>
      </c>
      <c r="U108" s="10">
        <f t="shared" si="146"/>
        <v>39.9</v>
      </c>
      <c r="V108" s="10">
        <v>30</v>
      </c>
      <c r="W108" s="10">
        <f t="shared" si="147"/>
        <v>39.9</v>
      </c>
      <c r="X108" s="66">
        <f t="shared" si="148"/>
        <v>212.8</v>
      </c>
      <c r="Y108" s="66">
        <f t="shared" si="149"/>
        <v>1.5228426395939085</v>
      </c>
      <c r="Z108" s="66">
        <f t="shared" si="150"/>
        <v>12.768000000000001</v>
      </c>
      <c r="AA108" s="66">
        <f t="shared" si="151"/>
        <v>14.896000000000003</v>
      </c>
      <c r="AB108" s="66">
        <f t="shared" si="152"/>
        <v>241.98684263959393</v>
      </c>
      <c r="AC108" s="66">
        <f t="shared" si="153"/>
        <v>73.080026477157361</v>
      </c>
      <c r="AD108" s="66"/>
      <c r="AE108" s="66"/>
      <c r="AF108" s="66"/>
      <c r="AG108" s="66"/>
      <c r="AH108" s="66"/>
      <c r="AI108" s="67"/>
      <c r="AJ108" s="67"/>
      <c r="AK108" s="67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150"/>
      <c r="BI108" s="66"/>
      <c r="BJ108" s="150"/>
      <c r="BK108" s="155"/>
      <c r="BL108" s="62"/>
      <c r="BM108" s="62"/>
      <c r="BN108" s="62"/>
      <c r="BO108" s="39"/>
      <c r="BS108" s="48"/>
    </row>
    <row r="109" spans="1:71" ht="94.5">
      <c r="A109" s="40" t="s">
        <v>420</v>
      </c>
      <c r="B109" s="63" t="s">
        <v>412</v>
      </c>
      <c r="C109" s="16" t="s">
        <v>413</v>
      </c>
      <c r="D109" s="16" t="s">
        <v>336</v>
      </c>
      <c r="E109" s="16">
        <v>5</v>
      </c>
      <c r="F109" s="64">
        <v>63.5</v>
      </c>
      <c r="G109" s="10">
        <v>0</v>
      </c>
      <c r="H109" s="65">
        <f t="shared" ref="H109:H135" si="154">F109*G109/100</f>
        <v>0</v>
      </c>
      <c r="I109" s="10"/>
      <c r="J109" s="10">
        <f t="shared" ref="J109:J135" si="155">F109*I109/100</f>
        <v>0</v>
      </c>
      <c r="K109" s="10"/>
      <c r="L109" s="10">
        <f t="shared" ref="L109:L135" si="156">F109*K109/100</f>
        <v>0</v>
      </c>
      <c r="M109" s="10"/>
      <c r="N109" s="10">
        <v>25</v>
      </c>
      <c r="O109" s="10">
        <f t="shared" ref="O109:O135" si="157">F109*N109/100</f>
        <v>15.875</v>
      </c>
      <c r="P109" s="10"/>
      <c r="Q109" s="10"/>
      <c r="R109" s="10">
        <v>40</v>
      </c>
      <c r="S109" s="10">
        <f t="shared" si="145"/>
        <v>31.75</v>
      </c>
      <c r="T109" s="10">
        <v>30</v>
      </c>
      <c r="U109" s="10">
        <f t="shared" si="146"/>
        <v>33.337499999999999</v>
      </c>
      <c r="V109" s="10">
        <v>30</v>
      </c>
      <c r="W109" s="10">
        <f t="shared" si="147"/>
        <v>33.337499999999999</v>
      </c>
      <c r="X109" s="66">
        <f t="shared" si="148"/>
        <v>177.8</v>
      </c>
      <c r="Y109" s="66">
        <f t="shared" si="149"/>
        <v>1.5228426395939085</v>
      </c>
      <c r="Z109" s="66">
        <f t="shared" si="150"/>
        <v>10.668000000000001</v>
      </c>
      <c r="AA109" s="66">
        <f t="shared" si="151"/>
        <v>12.446000000000002</v>
      </c>
      <c r="AB109" s="66">
        <f t="shared" si="152"/>
        <v>202.43684263959392</v>
      </c>
      <c r="AC109" s="66">
        <f t="shared" si="153"/>
        <v>61.135926477157362</v>
      </c>
      <c r="AD109" s="106">
        <f t="shared" ref="AD109:AD135" si="158">AB109*0.098</f>
        <v>19.838810578680206</v>
      </c>
      <c r="AE109" s="106">
        <f t="shared" ref="AE109:AE135" si="159">AB109*1.0133*0.05</f>
        <v>10.256462632335028</v>
      </c>
      <c r="AF109" s="66" t="s">
        <v>97</v>
      </c>
      <c r="AG109" s="129">
        <v>32.83</v>
      </c>
      <c r="AH109" s="132">
        <v>23.9</v>
      </c>
      <c r="AI109" s="67">
        <v>32.743000000000002</v>
      </c>
      <c r="AJ109" s="67">
        <v>34.416000000000004</v>
      </c>
      <c r="AK109" s="67">
        <v>36.327999999999996</v>
      </c>
      <c r="AL109" s="66">
        <f t="shared" ref="AL109:AL135" si="160">(AI109*7+AJ109*2+AK109*3)/12</f>
        <v>33.918083333333335</v>
      </c>
      <c r="AM109" s="66">
        <f t="shared" ref="AM109:AM116" si="161">AG109*AL109/100*23</f>
        <v>256.11205544166666</v>
      </c>
      <c r="AN109" s="106" t="s">
        <v>184</v>
      </c>
      <c r="AO109" s="66">
        <v>5.43</v>
      </c>
      <c r="AP109" s="66">
        <v>0.2</v>
      </c>
      <c r="AQ109" s="66">
        <f t="shared" ref="AQ109:AQ129" si="162">AG109*AO109*AP109</f>
        <v>35.653379999999999</v>
      </c>
      <c r="AR109" s="66">
        <f t="shared" ref="AR109:AR135" si="163">AM109+AQ109</f>
        <v>291.76543544166668</v>
      </c>
      <c r="AS109" s="66" t="s">
        <v>289</v>
      </c>
      <c r="AT109" s="66">
        <v>456</v>
      </c>
      <c r="AU109" s="66">
        <v>0.6</v>
      </c>
      <c r="AV109" s="66">
        <f>AU109/100*AL109*0.23*AT109</f>
        <v>21.34397148</v>
      </c>
      <c r="AW109" s="66">
        <v>50000</v>
      </c>
      <c r="AX109" s="66">
        <v>23</v>
      </c>
      <c r="AY109" s="66" t="s">
        <v>414</v>
      </c>
      <c r="AZ109" s="106">
        <v>12656</v>
      </c>
      <c r="BA109" s="66">
        <v>13</v>
      </c>
      <c r="BB109" s="66">
        <f t="shared" ref="BB109:BB116" si="164">AZ109*BA109/AW109*AX109</f>
        <v>75.682879999999997</v>
      </c>
      <c r="BC109" s="106">
        <v>48.62</v>
      </c>
      <c r="BD109" s="106">
        <v>17.510000000000002</v>
      </c>
      <c r="BE109" s="66">
        <v>143</v>
      </c>
      <c r="BF109" s="106">
        <v>5.19</v>
      </c>
      <c r="BG109" s="66"/>
      <c r="BH109" s="150">
        <f>AB109+AC109+AD109+AR109+AV109+BB109+BC109+BD109+BE109+BF109+BG109</f>
        <v>886.52386661709818</v>
      </c>
      <c r="BI109" s="106">
        <f t="shared" ref="BI109:BI135" si="165">AB109*0.2</f>
        <v>40.48736852791879</v>
      </c>
      <c r="BJ109" s="150">
        <f t="shared" ref="BJ109:BJ129" si="166">BH109+AE109+BI109</f>
        <v>937.26769777735194</v>
      </c>
      <c r="BK109" s="155">
        <f>BH109-AD109</f>
        <v>866.685056038418</v>
      </c>
      <c r="BL109" s="62"/>
      <c r="BM109" s="62"/>
      <c r="BN109" s="62"/>
      <c r="BO109" s="39"/>
      <c r="BS109" s="48"/>
    </row>
    <row r="110" spans="1:71" ht="47.25">
      <c r="A110" s="40" t="s">
        <v>421</v>
      </c>
      <c r="B110" s="55" t="s">
        <v>231</v>
      </c>
      <c r="C110" s="52" t="s">
        <v>225</v>
      </c>
      <c r="D110" s="52" t="s">
        <v>336</v>
      </c>
      <c r="E110" s="52">
        <v>4</v>
      </c>
      <c r="F110" s="52">
        <v>56.44</v>
      </c>
      <c r="G110" s="52">
        <v>0</v>
      </c>
      <c r="H110" s="54">
        <f t="shared" si="154"/>
        <v>0</v>
      </c>
      <c r="I110" s="52"/>
      <c r="J110" s="52">
        <f t="shared" si="155"/>
        <v>0</v>
      </c>
      <c r="K110" s="52">
        <v>40</v>
      </c>
      <c r="L110" s="52">
        <f t="shared" si="156"/>
        <v>22.576000000000001</v>
      </c>
      <c r="M110" s="52">
        <v>1.65</v>
      </c>
      <c r="N110" s="52">
        <v>25</v>
      </c>
      <c r="O110" s="52">
        <f t="shared" si="157"/>
        <v>14.11</v>
      </c>
      <c r="P110" s="52"/>
      <c r="Q110" s="52"/>
      <c r="R110" s="52">
        <v>40</v>
      </c>
      <c r="S110" s="52">
        <f t="shared" si="145"/>
        <v>37.910400000000003</v>
      </c>
      <c r="T110" s="52">
        <v>30</v>
      </c>
      <c r="U110" s="52">
        <f t="shared" si="146"/>
        <v>39.805919999999993</v>
      </c>
      <c r="V110" s="52">
        <v>30</v>
      </c>
      <c r="W110" s="52">
        <f t="shared" si="147"/>
        <v>39.805919999999993</v>
      </c>
      <c r="X110" s="106">
        <f t="shared" si="148"/>
        <v>212.29823999999996</v>
      </c>
      <c r="Y110" s="106">
        <f t="shared" si="149"/>
        <v>1.5228426395939085</v>
      </c>
      <c r="Z110" s="106">
        <f t="shared" si="150"/>
        <v>12.737894399999997</v>
      </c>
      <c r="AA110" s="106">
        <f t="shared" si="151"/>
        <v>14.8608768</v>
      </c>
      <c r="AB110" s="106">
        <f t="shared" si="152"/>
        <v>241.41985383959386</v>
      </c>
      <c r="AC110" s="106">
        <f t="shared" si="153"/>
        <v>72.908795859557344</v>
      </c>
      <c r="AD110" s="106">
        <f t="shared" si="158"/>
        <v>23.6591456762802</v>
      </c>
      <c r="AE110" s="106">
        <f t="shared" si="159"/>
        <v>12.231536894783025</v>
      </c>
      <c r="AF110" s="106" t="s">
        <v>216</v>
      </c>
      <c r="AG110" s="106">
        <v>32.5</v>
      </c>
      <c r="AH110" s="106">
        <v>9</v>
      </c>
      <c r="AI110" s="130">
        <v>11.43</v>
      </c>
      <c r="AJ110" s="130">
        <v>12.06</v>
      </c>
      <c r="AK110" s="130">
        <v>12.78</v>
      </c>
      <c r="AL110" s="106">
        <f t="shared" si="160"/>
        <v>11.8725</v>
      </c>
      <c r="AM110" s="106">
        <f t="shared" si="161"/>
        <v>88.746937499999987</v>
      </c>
      <c r="AN110" s="106"/>
      <c r="AO110" s="106"/>
      <c r="AP110" s="106"/>
      <c r="AQ110" s="106">
        <f t="shared" si="162"/>
        <v>0</v>
      </c>
      <c r="AR110" s="106">
        <f t="shared" si="163"/>
        <v>88.746937499999987</v>
      </c>
      <c r="AS110" s="106"/>
      <c r="AT110" s="106"/>
      <c r="AU110" s="106"/>
      <c r="AV110" s="106">
        <f t="shared" ref="AV110:AV116" si="167">AL110/100*23*AU110/100*AT110</f>
        <v>0</v>
      </c>
      <c r="AW110" s="106">
        <v>50000</v>
      </c>
      <c r="AX110" s="106">
        <v>23</v>
      </c>
      <c r="AY110" s="106" t="s">
        <v>217</v>
      </c>
      <c r="AZ110" s="106">
        <v>6424.57</v>
      </c>
      <c r="BA110" s="106">
        <v>4</v>
      </c>
      <c r="BB110" s="106">
        <f t="shared" si="164"/>
        <v>11.821208800000001</v>
      </c>
      <c r="BC110" s="106">
        <v>48.62</v>
      </c>
      <c r="BD110" s="106">
        <v>17.510000000000002</v>
      </c>
      <c r="BE110" s="106">
        <v>190.91</v>
      </c>
      <c r="BF110" s="106">
        <v>5.19</v>
      </c>
      <c r="BG110" s="106"/>
      <c r="BH110" s="149">
        <f t="shared" ref="BH110:BH115" si="168">AB110+AC110+AD110+AR110+AV110+BB110+BC110+BD110+BE110+BF110</f>
        <v>700.78594167543145</v>
      </c>
      <c r="BI110" s="106">
        <f t="shared" si="165"/>
        <v>48.283970767918774</v>
      </c>
      <c r="BJ110" s="149">
        <f t="shared" si="166"/>
        <v>761.30144933813324</v>
      </c>
      <c r="BK110" s="154"/>
      <c r="BL110" s="62"/>
      <c r="BM110" s="62"/>
      <c r="BN110" s="62"/>
      <c r="BO110" s="39"/>
      <c r="BS110" s="48"/>
    </row>
    <row r="111" spans="1:71" ht="37.5" customHeight="1">
      <c r="A111" s="40" t="s">
        <v>422</v>
      </c>
      <c r="B111" s="55" t="s">
        <v>232</v>
      </c>
      <c r="C111" s="52" t="s">
        <v>226</v>
      </c>
      <c r="D111" s="52" t="s">
        <v>336</v>
      </c>
      <c r="E111" s="52">
        <v>4</v>
      </c>
      <c r="F111" s="52">
        <v>56.44</v>
      </c>
      <c r="G111" s="52">
        <v>0</v>
      </c>
      <c r="H111" s="54">
        <f t="shared" si="154"/>
        <v>0</v>
      </c>
      <c r="I111" s="52"/>
      <c r="J111" s="52">
        <f t="shared" si="155"/>
        <v>0</v>
      </c>
      <c r="K111" s="52">
        <v>0</v>
      </c>
      <c r="L111" s="52">
        <f t="shared" si="156"/>
        <v>0</v>
      </c>
      <c r="M111" s="52">
        <v>0</v>
      </c>
      <c r="N111" s="52">
        <v>25</v>
      </c>
      <c r="O111" s="52">
        <f t="shared" si="157"/>
        <v>14.11</v>
      </c>
      <c r="P111" s="52"/>
      <c r="Q111" s="52"/>
      <c r="R111" s="52">
        <v>40</v>
      </c>
      <c r="S111" s="52">
        <f t="shared" si="145"/>
        <v>28.22</v>
      </c>
      <c r="T111" s="52">
        <v>30</v>
      </c>
      <c r="U111" s="52">
        <f t="shared" si="146"/>
        <v>29.631</v>
      </c>
      <c r="V111" s="52">
        <v>30</v>
      </c>
      <c r="W111" s="52">
        <f t="shared" si="147"/>
        <v>29.631</v>
      </c>
      <c r="X111" s="106">
        <f t="shared" si="148"/>
        <v>158.03200000000001</v>
      </c>
      <c r="Y111" s="106">
        <f t="shared" si="149"/>
        <v>1.5228426395939085</v>
      </c>
      <c r="Z111" s="106">
        <f t="shared" si="150"/>
        <v>9.4819200000000006</v>
      </c>
      <c r="AA111" s="106">
        <f t="shared" si="151"/>
        <v>11.062240000000001</v>
      </c>
      <c r="AB111" s="106">
        <f t="shared" si="152"/>
        <v>180.09900263959392</v>
      </c>
      <c r="AC111" s="106">
        <f t="shared" si="153"/>
        <v>54.389898797157365</v>
      </c>
      <c r="AD111" s="106">
        <f t="shared" si="158"/>
        <v>17.649702258680204</v>
      </c>
      <c r="AE111" s="106">
        <f t="shared" si="159"/>
        <v>9.1247159687350266</v>
      </c>
      <c r="AF111" s="106" t="s">
        <v>216</v>
      </c>
      <c r="AG111" s="106">
        <v>32.5</v>
      </c>
      <c r="AH111" s="106">
        <v>9</v>
      </c>
      <c r="AI111" s="130">
        <v>11.43</v>
      </c>
      <c r="AJ111" s="130">
        <v>12.06</v>
      </c>
      <c r="AK111" s="130">
        <v>12.78</v>
      </c>
      <c r="AL111" s="106">
        <f t="shared" si="160"/>
        <v>11.8725</v>
      </c>
      <c r="AM111" s="106">
        <f t="shared" si="161"/>
        <v>88.746937499999987</v>
      </c>
      <c r="AN111" s="106"/>
      <c r="AO111" s="106"/>
      <c r="AP111" s="106"/>
      <c r="AQ111" s="106">
        <f t="shared" si="162"/>
        <v>0</v>
      </c>
      <c r="AR111" s="106">
        <f t="shared" si="163"/>
        <v>88.746937499999987</v>
      </c>
      <c r="AS111" s="106"/>
      <c r="AT111" s="106"/>
      <c r="AU111" s="106"/>
      <c r="AV111" s="106">
        <f t="shared" si="167"/>
        <v>0</v>
      </c>
      <c r="AW111" s="106">
        <v>50000</v>
      </c>
      <c r="AX111" s="106">
        <v>23</v>
      </c>
      <c r="AY111" s="106" t="s">
        <v>217</v>
      </c>
      <c r="AZ111" s="106">
        <v>6424.57</v>
      </c>
      <c r="BA111" s="106">
        <v>4</v>
      </c>
      <c r="BB111" s="106">
        <f t="shared" si="164"/>
        <v>11.821208800000001</v>
      </c>
      <c r="BC111" s="106">
        <v>48.62</v>
      </c>
      <c r="BD111" s="106">
        <v>17.510000000000002</v>
      </c>
      <c r="BE111" s="106">
        <v>190.91</v>
      </c>
      <c r="BF111" s="106">
        <v>5.19</v>
      </c>
      <c r="BG111" s="106"/>
      <c r="BH111" s="149">
        <f t="shared" si="168"/>
        <v>614.93674999543157</v>
      </c>
      <c r="BI111" s="106">
        <f t="shared" si="165"/>
        <v>36.019800527918783</v>
      </c>
      <c r="BJ111" s="149">
        <f t="shared" si="166"/>
        <v>660.08126649208532</v>
      </c>
      <c r="BK111" s="154"/>
      <c r="BL111" s="62"/>
      <c r="BM111" s="62"/>
      <c r="BN111" s="62"/>
      <c r="BO111" s="39"/>
      <c r="BS111" s="48"/>
    </row>
    <row r="112" spans="1:71" ht="76.5" customHeight="1">
      <c r="A112" s="41" t="s">
        <v>423</v>
      </c>
      <c r="B112" s="55" t="s">
        <v>251</v>
      </c>
      <c r="C112" s="52" t="s">
        <v>227</v>
      </c>
      <c r="D112" s="52" t="s">
        <v>336</v>
      </c>
      <c r="E112" s="52">
        <v>4</v>
      </c>
      <c r="F112" s="52">
        <v>56.44</v>
      </c>
      <c r="G112" s="52">
        <v>0</v>
      </c>
      <c r="H112" s="54">
        <f t="shared" si="154"/>
        <v>0</v>
      </c>
      <c r="I112" s="52"/>
      <c r="J112" s="52">
        <f t="shared" si="155"/>
        <v>0</v>
      </c>
      <c r="K112" s="52">
        <v>40</v>
      </c>
      <c r="L112" s="52">
        <f t="shared" si="156"/>
        <v>22.576000000000001</v>
      </c>
      <c r="M112" s="52">
        <v>1.65</v>
      </c>
      <c r="N112" s="52">
        <v>25</v>
      </c>
      <c r="O112" s="52">
        <f t="shared" si="157"/>
        <v>14.11</v>
      </c>
      <c r="P112" s="52"/>
      <c r="Q112" s="52"/>
      <c r="R112" s="52">
        <v>40</v>
      </c>
      <c r="S112" s="52">
        <f t="shared" si="145"/>
        <v>37.910400000000003</v>
      </c>
      <c r="T112" s="52">
        <v>30</v>
      </c>
      <c r="U112" s="52">
        <f t="shared" si="146"/>
        <v>39.805919999999993</v>
      </c>
      <c r="V112" s="52">
        <v>30</v>
      </c>
      <c r="W112" s="52">
        <f t="shared" si="147"/>
        <v>39.805919999999993</v>
      </c>
      <c r="X112" s="106">
        <f t="shared" si="148"/>
        <v>212.29823999999996</v>
      </c>
      <c r="Y112" s="106">
        <f t="shared" si="149"/>
        <v>1.5228426395939085</v>
      </c>
      <c r="Z112" s="106">
        <f t="shared" si="150"/>
        <v>12.737894399999997</v>
      </c>
      <c r="AA112" s="106">
        <f t="shared" si="151"/>
        <v>14.8608768</v>
      </c>
      <c r="AB112" s="106">
        <f t="shared" si="152"/>
        <v>241.41985383959386</v>
      </c>
      <c r="AC112" s="106">
        <f t="shared" si="153"/>
        <v>72.908795859557344</v>
      </c>
      <c r="AD112" s="106">
        <f t="shared" si="158"/>
        <v>23.6591456762802</v>
      </c>
      <c r="AE112" s="106">
        <f t="shared" si="159"/>
        <v>12.231536894783025</v>
      </c>
      <c r="AF112" s="106" t="s">
        <v>216</v>
      </c>
      <c r="AG112" s="106">
        <v>32.5</v>
      </c>
      <c r="AH112" s="130">
        <v>10</v>
      </c>
      <c r="AI112" s="130">
        <v>12.7</v>
      </c>
      <c r="AJ112" s="130">
        <v>13.4</v>
      </c>
      <c r="AK112" s="130">
        <v>14.2</v>
      </c>
      <c r="AL112" s="106">
        <f t="shared" si="160"/>
        <v>13.191666666666665</v>
      </c>
      <c r="AM112" s="106">
        <f t="shared" si="161"/>
        <v>98.607708333333335</v>
      </c>
      <c r="AN112" s="106"/>
      <c r="AO112" s="106"/>
      <c r="AP112" s="106"/>
      <c r="AQ112" s="106">
        <f t="shared" si="162"/>
        <v>0</v>
      </c>
      <c r="AR112" s="106">
        <f t="shared" si="163"/>
        <v>98.607708333333335</v>
      </c>
      <c r="AS112" s="106"/>
      <c r="AT112" s="106"/>
      <c r="AU112" s="106"/>
      <c r="AV112" s="106">
        <f t="shared" si="167"/>
        <v>0</v>
      </c>
      <c r="AW112" s="106">
        <v>50000</v>
      </c>
      <c r="AX112" s="106">
        <v>23</v>
      </c>
      <c r="AY112" s="106" t="s">
        <v>217</v>
      </c>
      <c r="AZ112" s="106">
        <v>6424.57</v>
      </c>
      <c r="BA112" s="106">
        <v>4</v>
      </c>
      <c r="BB112" s="106">
        <f t="shared" si="164"/>
        <v>11.821208800000001</v>
      </c>
      <c r="BC112" s="106">
        <v>48.62</v>
      </c>
      <c r="BD112" s="106">
        <v>17.510000000000002</v>
      </c>
      <c r="BE112" s="106">
        <v>236.03</v>
      </c>
      <c r="BF112" s="106">
        <v>5.19</v>
      </c>
      <c r="BG112" s="106"/>
      <c r="BH112" s="149">
        <f t="shared" si="168"/>
        <v>755.76671250876484</v>
      </c>
      <c r="BI112" s="106">
        <f t="shared" si="165"/>
        <v>48.283970767918774</v>
      </c>
      <c r="BJ112" s="149">
        <f t="shared" si="166"/>
        <v>816.28222017146663</v>
      </c>
      <c r="BK112" s="154">
        <f>BH112-AD112</f>
        <v>732.10756683248462</v>
      </c>
      <c r="BL112" s="62"/>
      <c r="BM112" s="62"/>
      <c r="BN112" s="62"/>
      <c r="BO112" s="39"/>
      <c r="BS112" s="48"/>
    </row>
    <row r="113" spans="1:71" ht="71.25" customHeight="1">
      <c r="A113" s="40" t="s">
        <v>424</v>
      </c>
      <c r="B113" s="55" t="s">
        <v>249</v>
      </c>
      <c r="C113" s="52" t="s">
        <v>228</v>
      </c>
      <c r="D113" s="52" t="s">
        <v>336</v>
      </c>
      <c r="E113" s="52">
        <v>4</v>
      </c>
      <c r="F113" s="52">
        <v>56.44</v>
      </c>
      <c r="G113" s="52">
        <v>0</v>
      </c>
      <c r="H113" s="54">
        <f t="shared" si="154"/>
        <v>0</v>
      </c>
      <c r="I113" s="52"/>
      <c r="J113" s="52">
        <f t="shared" si="155"/>
        <v>0</v>
      </c>
      <c r="K113" s="52">
        <v>40</v>
      </c>
      <c r="L113" s="52">
        <f t="shared" si="156"/>
        <v>22.576000000000001</v>
      </c>
      <c r="M113" s="52">
        <v>1.65</v>
      </c>
      <c r="N113" s="52">
        <v>25</v>
      </c>
      <c r="O113" s="52">
        <f t="shared" si="157"/>
        <v>14.11</v>
      </c>
      <c r="P113" s="52"/>
      <c r="Q113" s="52"/>
      <c r="R113" s="52">
        <v>40</v>
      </c>
      <c r="S113" s="52">
        <f t="shared" si="145"/>
        <v>37.910400000000003</v>
      </c>
      <c r="T113" s="52">
        <v>30</v>
      </c>
      <c r="U113" s="52">
        <f t="shared" si="146"/>
        <v>39.805919999999993</v>
      </c>
      <c r="V113" s="52">
        <v>30</v>
      </c>
      <c r="W113" s="52">
        <f t="shared" si="147"/>
        <v>39.805919999999993</v>
      </c>
      <c r="X113" s="106">
        <f t="shared" si="148"/>
        <v>212.29823999999996</v>
      </c>
      <c r="Y113" s="106">
        <f t="shared" si="149"/>
        <v>1.5228426395939085</v>
      </c>
      <c r="Z113" s="106">
        <f t="shared" si="150"/>
        <v>12.737894399999997</v>
      </c>
      <c r="AA113" s="106">
        <f t="shared" si="151"/>
        <v>14.8608768</v>
      </c>
      <c r="AB113" s="106">
        <f t="shared" si="152"/>
        <v>241.41985383959386</v>
      </c>
      <c r="AC113" s="106">
        <f t="shared" si="153"/>
        <v>72.908795859557344</v>
      </c>
      <c r="AD113" s="106">
        <f t="shared" si="158"/>
        <v>23.6591456762802</v>
      </c>
      <c r="AE113" s="106">
        <f t="shared" si="159"/>
        <v>12.231536894783025</v>
      </c>
      <c r="AF113" s="106" t="s">
        <v>216</v>
      </c>
      <c r="AG113" s="106">
        <v>32.5</v>
      </c>
      <c r="AH113" s="130">
        <v>10</v>
      </c>
      <c r="AI113" s="130">
        <v>12.7</v>
      </c>
      <c r="AJ113" s="130">
        <v>13.4</v>
      </c>
      <c r="AK113" s="130">
        <v>14.2</v>
      </c>
      <c r="AL113" s="106">
        <f t="shared" si="160"/>
        <v>13.191666666666665</v>
      </c>
      <c r="AM113" s="106">
        <f t="shared" si="161"/>
        <v>98.607708333333335</v>
      </c>
      <c r="AN113" s="106"/>
      <c r="AO113" s="106"/>
      <c r="AP113" s="106"/>
      <c r="AQ113" s="106">
        <f t="shared" si="162"/>
        <v>0</v>
      </c>
      <c r="AR113" s="106">
        <f t="shared" si="163"/>
        <v>98.607708333333335</v>
      </c>
      <c r="AS113" s="106"/>
      <c r="AT113" s="106"/>
      <c r="AU113" s="106"/>
      <c r="AV113" s="106">
        <f t="shared" si="167"/>
        <v>0</v>
      </c>
      <c r="AW113" s="106">
        <v>50000</v>
      </c>
      <c r="AX113" s="106">
        <v>23</v>
      </c>
      <c r="AY113" s="106" t="s">
        <v>217</v>
      </c>
      <c r="AZ113" s="106">
        <v>6424.57</v>
      </c>
      <c r="BA113" s="106">
        <v>4</v>
      </c>
      <c r="BB113" s="106">
        <f t="shared" si="164"/>
        <v>11.821208800000001</v>
      </c>
      <c r="BC113" s="106">
        <v>48.62</v>
      </c>
      <c r="BD113" s="106">
        <v>17.510000000000002</v>
      </c>
      <c r="BE113" s="106">
        <v>236.03</v>
      </c>
      <c r="BF113" s="106">
        <v>5.19</v>
      </c>
      <c r="BG113" s="106"/>
      <c r="BH113" s="149">
        <f t="shared" si="168"/>
        <v>755.76671250876484</v>
      </c>
      <c r="BI113" s="106">
        <f t="shared" si="165"/>
        <v>48.283970767918774</v>
      </c>
      <c r="BJ113" s="149">
        <f t="shared" si="166"/>
        <v>816.28222017146663</v>
      </c>
      <c r="BK113" s="154">
        <f>BH113-AD113</f>
        <v>732.10756683248462</v>
      </c>
      <c r="BL113" s="62"/>
      <c r="BM113" s="62"/>
      <c r="BN113" s="62"/>
      <c r="BO113" s="39"/>
      <c r="BS113" s="48"/>
    </row>
    <row r="114" spans="1:71" ht="72.75" customHeight="1">
      <c r="A114" s="40" t="s">
        <v>425</v>
      </c>
      <c r="B114" s="55" t="s">
        <v>250</v>
      </c>
      <c r="C114" s="52" t="s">
        <v>229</v>
      </c>
      <c r="D114" s="52" t="s">
        <v>336</v>
      </c>
      <c r="E114" s="52">
        <v>4</v>
      </c>
      <c r="F114" s="52">
        <v>56.44</v>
      </c>
      <c r="G114" s="52">
        <v>0</v>
      </c>
      <c r="H114" s="54">
        <f t="shared" si="154"/>
        <v>0</v>
      </c>
      <c r="I114" s="52"/>
      <c r="J114" s="52">
        <f t="shared" si="155"/>
        <v>0</v>
      </c>
      <c r="K114" s="52">
        <v>40</v>
      </c>
      <c r="L114" s="52">
        <f t="shared" si="156"/>
        <v>22.576000000000001</v>
      </c>
      <c r="M114" s="52">
        <v>1.65</v>
      </c>
      <c r="N114" s="52">
        <v>25</v>
      </c>
      <c r="O114" s="52">
        <f t="shared" si="157"/>
        <v>14.11</v>
      </c>
      <c r="P114" s="52"/>
      <c r="Q114" s="52"/>
      <c r="R114" s="52">
        <v>40</v>
      </c>
      <c r="S114" s="52">
        <f t="shared" si="145"/>
        <v>37.910400000000003</v>
      </c>
      <c r="T114" s="52">
        <v>30</v>
      </c>
      <c r="U114" s="52">
        <f t="shared" si="146"/>
        <v>39.805919999999993</v>
      </c>
      <c r="V114" s="52">
        <v>30</v>
      </c>
      <c r="W114" s="52">
        <f t="shared" si="147"/>
        <v>39.805919999999993</v>
      </c>
      <c r="X114" s="106">
        <f t="shared" si="148"/>
        <v>212.29823999999996</v>
      </c>
      <c r="Y114" s="106">
        <f t="shared" si="149"/>
        <v>1.5228426395939085</v>
      </c>
      <c r="Z114" s="106">
        <f t="shared" si="150"/>
        <v>12.737894399999997</v>
      </c>
      <c r="AA114" s="106">
        <f t="shared" si="151"/>
        <v>14.8608768</v>
      </c>
      <c r="AB114" s="106">
        <f t="shared" si="152"/>
        <v>241.41985383959386</v>
      </c>
      <c r="AC114" s="106">
        <f t="shared" si="153"/>
        <v>72.908795859557344</v>
      </c>
      <c r="AD114" s="106">
        <f t="shared" si="158"/>
        <v>23.6591456762802</v>
      </c>
      <c r="AE114" s="106">
        <f t="shared" si="159"/>
        <v>12.231536894783025</v>
      </c>
      <c r="AF114" s="106" t="s">
        <v>216</v>
      </c>
      <c r="AG114" s="106">
        <v>32.5</v>
      </c>
      <c r="AH114" s="130">
        <v>10</v>
      </c>
      <c r="AI114" s="130">
        <v>12.7</v>
      </c>
      <c r="AJ114" s="130">
        <v>13.4</v>
      </c>
      <c r="AK114" s="130">
        <v>14.2</v>
      </c>
      <c r="AL114" s="106">
        <f t="shared" si="160"/>
        <v>13.191666666666665</v>
      </c>
      <c r="AM114" s="106">
        <f t="shared" si="161"/>
        <v>98.607708333333335</v>
      </c>
      <c r="AN114" s="106"/>
      <c r="AO114" s="106"/>
      <c r="AP114" s="106"/>
      <c r="AQ114" s="106">
        <f t="shared" si="162"/>
        <v>0</v>
      </c>
      <c r="AR114" s="106">
        <f t="shared" si="163"/>
        <v>98.607708333333335</v>
      </c>
      <c r="AS114" s="106"/>
      <c r="AT114" s="106"/>
      <c r="AU114" s="106"/>
      <c r="AV114" s="106">
        <f t="shared" si="167"/>
        <v>0</v>
      </c>
      <c r="AW114" s="106">
        <v>50000</v>
      </c>
      <c r="AX114" s="106">
        <v>23</v>
      </c>
      <c r="AY114" s="106" t="s">
        <v>217</v>
      </c>
      <c r="AZ114" s="106">
        <v>6424.57</v>
      </c>
      <c r="BA114" s="106">
        <v>4</v>
      </c>
      <c r="BB114" s="106">
        <f t="shared" si="164"/>
        <v>11.821208800000001</v>
      </c>
      <c r="BC114" s="106">
        <v>48.62</v>
      </c>
      <c r="BD114" s="106">
        <v>17.510000000000002</v>
      </c>
      <c r="BE114" s="106">
        <v>236.03</v>
      </c>
      <c r="BF114" s="106">
        <v>5.19</v>
      </c>
      <c r="BG114" s="106"/>
      <c r="BH114" s="149">
        <f t="shared" si="168"/>
        <v>755.76671250876484</v>
      </c>
      <c r="BI114" s="106">
        <f t="shared" si="165"/>
        <v>48.283970767918774</v>
      </c>
      <c r="BJ114" s="149">
        <f t="shared" si="166"/>
        <v>816.28222017146663</v>
      </c>
      <c r="BK114" s="154">
        <f>BH114-AD114</f>
        <v>732.10756683248462</v>
      </c>
      <c r="BL114" s="62"/>
      <c r="BM114" s="62"/>
      <c r="BN114" s="62"/>
      <c r="BO114" s="39"/>
      <c r="BS114" s="48"/>
    </row>
    <row r="115" spans="1:71" ht="94.5">
      <c r="A115" s="40" t="s">
        <v>426</v>
      </c>
      <c r="B115" s="68" t="s">
        <v>320</v>
      </c>
      <c r="C115" s="52" t="s">
        <v>321</v>
      </c>
      <c r="D115" s="52" t="s">
        <v>336</v>
      </c>
      <c r="E115" s="52">
        <v>4</v>
      </c>
      <c r="F115" s="52">
        <v>56.44</v>
      </c>
      <c r="G115" s="52">
        <v>0</v>
      </c>
      <c r="H115" s="54">
        <f t="shared" si="154"/>
        <v>0</v>
      </c>
      <c r="I115" s="52"/>
      <c r="J115" s="52">
        <f t="shared" si="155"/>
        <v>0</v>
      </c>
      <c r="K115" s="52"/>
      <c r="L115" s="52">
        <f t="shared" si="156"/>
        <v>0</v>
      </c>
      <c r="M115" s="52"/>
      <c r="N115" s="52">
        <v>25</v>
      </c>
      <c r="O115" s="52">
        <f t="shared" si="157"/>
        <v>14.11</v>
      </c>
      <c r="P115" s="52"/>
      <c r="Q115" s="52"/>
      <c r="R115" s="52">
        <v>40</v>
      </c>
      <c r="S115" s="52">
        <f t="shared" si="145"/>
        <v>28.22</v>
      </c>
      <c r="T115" s="52">
        <v>30</v>
      </c>
      <c r="U115" s="52">
        <f t="shared" si="146"/>
        <v>29.631</v>
      </c>
      <c r="V115" s="52">
        <v>30</v>
      </c>
      <c r="W115" s="52">
        <f t="shared" si="147"/>
        <v>29.631</v>
      </c>
      <c r="X115" s="106">
        <f t="shared" si="148"/>
        <v>158.03200000000001</v>
      </c>
      <c r="Y115" s="106">
        <f t="shared" si="149"/>
        <v>1.5228426395939085</v>
      </c>
      <c r="Z115" s="106">
        <f t="shared" si="150"/>
        <v>9.4819200000000006</v>
      </c>
      <c r="AA115" s="106">
        <f t="shared" si="151"/>
        <v>11.062240000000001</v>
      </c>
      <c r="AB115" s="106">
        <f t="shared" si="152"/>
        <v>180.09900263959392</v>
      </c>
      <c r="AC115" s="106">
        <f t="shared" si="153"/>
        <v>54.389898797157365</v>
      </c>
      <c r="AD115" s="106">
        <f t="shared" si="158"/>
        <v>17.649702258680204</v>
      </c>
      <c r="AE115" s="106">
        <f t="shared" si="159"/>
        <v>9.1247159687350266</v>
      </c>
      <c r="AF115" s="106" t="s">
        <v>101</v>
      </c>
      <c r="AG115" s="106">
        <v>31.43</v>
      </c>
      <c r="AH115" s="106">
        <v>9.1999999999999993</v>
      </c>
      <c r="AI115" s="130">
        <v>11.68</v>
      </c>
      <c r="AJ115" s="130">
        <v>12.33</v>
      </c>
      <c r="AK115" s="130">
        <v>13.06</v>
      </c>
      <c r="AL115" s="106">
        <f t="shared" si="160"/>
        <v>12.133333333333333</v>
      </c>
      <c r="AM115" s="106">
        <f t="shared" si="161"/>
        <v>87.710653333333326</v>
      </c>
      <c r="AN115" s="106"/>
      <c r="AO115" s="106"/>
      <c r="AP115" s="106"/>
      <c r="AQ115" s="106">
        <f t="shared" si="162"/>
        <v>0</v>
      </c>
      <c r="AR115" s="106">
        <f t="shared" si="163"/>
        <v>87.710653333333326</v>
      </c>
      <c r="AS115" s="106" t="s">
        <v>289</v>
      </c>
      <c r="AT115" s="106">
        <v>456</v>
      </c>
      <c r="AU115" s="106">
        <v>0.72</v>
      </c>
      <c r="AV115" s="106">
        <f t="shared" si="167"/>
        <v>9.162316800000001</v>
      </c>
      <c r="AW115" s="106">
        <v>33000</v>
      </c>
      <c r="AX115" s="106">
        <v>23</v>
      </c>
      <c r="AY115" s="129" t="s">
        <v>322</v>
      </c>
      <c r="AZ115" s="106">
        <v>1570</v>
      </c>
      <c r="BA115" s="106">
        <v>4</v>
      </c>
      <c r="BB115" s="106">
        <f t="shared" si="164"/>
        <v>4.376969696969697</v>
      </c>
      <c r="BC115" s="106">
        <v>48.62</v>
      </c>
      <c r="BD115" s="106">
        <v>17.510000000000002</v>
      </c>
      <c r="BE115" s="106">
        <v>282.82</v>
      </c>
      <c r="BF115" s="106">
        <v>5.19</v>
      </c>
      <c r="BG115" s="106"/>
      <c r="BH115" s="149">
        <f t="shared" si="168"/>
        <v>707.52854352573456</v>
      </c>
      <c r="BI115" s="106">
        <f t="shared" si="165"/>
        <v>36.019800527918783</v>
      </c>
      <c r="BJ115" s="149">
        <f t="shared" si="166"/>
        <v>752.67306002238831</v>
      </c>
      <c r="BK115" s="154"/>
      <c r="BL115" s="62"/>
      <c r="BM115" s="62"/>
      <c r="BN115" s="62"/>
      <c r="BO115" s="39"/>
      <c r="BS115" s="48"/>
    </row>
    <row r="116" spans="1:71" ht="47.25">
      <c r="A116" s="40" t="s">
        <v>427</v>
      </c>
      <c r="B116" s="68" t="s">
        <v>366</v>
      </c>
      <c r="C116" s="77" t="s">
        <v>367</v>
      </c>
      <c r="D116" s="52" t="s">
        <v>336</v>
      </c>
      <c r="E116" s="10">
        <v>4</v>
      </c>
      <c r="F116" s="52">
        <v>56.44</v>
      </c>
      <c r="G116" s="52">
        <v>0</v>
      </c>
      <c r="H116" s="52">
        <f t="shared" si="154"/>
        <v>0</v>
      </c>
      <c r="I116" s="52"/>
      <c r="J116" s="52">
        <f t="shared" si="155"/>
        <v>0</v>
      </c>
      <c r="K116" s="52">
        <v>0</v>
      </c>
      <c r="L116" s="52">
        <f t="shared" si="156"/>
        <v>0</v>
      </c>
      <c r="M116" s="52">
        <v>0</v>
      </c>
      <c r="N116" s="52">
        <v>25</v>
      </c>
      <c r="O116" s="52">
        <f t="shared" si="157"/>
        <v>14.11</v>
      </c>
      <c r="P116" s="52"/>
      <c r="Q116" s="52"/>
      <c r="R116" s="52">
        <v>40</v>
      </c>
      <c r="S116" s="52">
        <f t="shared" si="145"/>
        <v>28.22</v>
      </c>
      <c r="T116" s="52">
        <v>30</v>
      </c>
      <c r="U116" s="52">
        <f t="shared" si="146"/>
        <v>29.631</v>
      </c>
      <c r="V116" s="52">
        <v>30</v>
      </c>
      <c r="W116" s="52">
        <f t="shared" si="147"/>
        <v>29.631</v>
      </c>
      <c r="X116" s="106">
        <f t="shared" si="148"/>
        <v>158.03200000000001</v>
      </c>
      <c r="Y116" s="106">
        <f t="shared" si="149"/>
        <v>1.5228426395939085</v>
      </c>
      <c r="Z116" s="106">
        <f t="shared" si="150"/>
        <v>9.4819200000000006</v>
      </c>
      <c r="AA116" s="106">
        <f t="shared" si="151"/>
        <v>11.062240000000001</v>
      </c>
      <c r="AB116" s="106">
        <f t="shared" si="152"/>
        <v>180.09900263959392</v>
      </c>
      <c r="AC116" s="106">
        <f t="shared" si="153"/>
        <v>54.389898797157365</v>
      </c>
      <c r="AD116" s="106">
        <f t="shared" si="158"/>
        <v>17.649702258680204</v>
      </c>
      <c r="AE116" s="106">
        <f t="shared" si="159"/>
        <v>9.1247159687350266</v>
      </c>
      <c r="AF116" s="106" t="s">
        <v>216</v>
      </c>
      <c r="AG116" s="106">
        <v>32.5</v>
      </c>
      <c r="AH116" s="106">
        <v>9</v>
      </c>
      <c r="AI116" s="130">
        <v>12.33</v>
      </c>
      <c r="AJ116" s="130">
        <v>12.96</v>
      </c>
      <c r="AK116" s="130">
        <v>13.68</v>
      </c>
      <c r="AL116" s="106">
        <f t="shared" si="160"/>
        <v>12.772500000000001</v>
      </c>
      <c r="AM116" s="106">
        <f t="shared" si="161"/>
        <v>95.474437500000008</v>
      </c>
      <c r="AN116" s="106"/>
      <c r="AO116" s="106"/>
      <c r="AP116" s="106"/>
      <c r="AQ116" s="106">
        <f t="shared" si="162"/>
        <v>0</v>
      </c>
      <c r="AR116" s="106">
        <f t="shared" si="163"/>
        <v>95.474437500000008</v>
      </c>
      <c r="AS116" s="106"/>
      <c r="AT116" s="106"/>
      <c r="AU116" s="106"/>
      <c r="AV116" s="106">
        <f t="shared" si="167"/>
        <v>0</v>
      </c>
      <c r="AW116" s="106">
        <v>50000</v>
      </c>
      <c r="AX116" s="106">
        <v>23</v>
      </c>
      <c r="AY116" s="106" t="s">
        <v>217</v>
      </c>
      <c r="AZ116" s="106">
        <v>7057</v>
      </c>
      <c r="BA116" s="106">
        <v>4</v>
      </c>
      <c r="BB116" s="106">
        <f t="shared" si="164"/>
        <v>12.984879999999999</v>
      </c>
      <c r="BC116" s="106">
        <v>48.62</v>
      </c>
      <c r="BD116" s="106">
        <v>17.510000000000002</v>
      </c>
      <c r="BE116" s="106">
        <v>236.03</v>
      </c>
      <c r="BF116" s="106">
        <v>5.19</v>
      </c>
      <c r="BG116" s="106"/>
      <c r="BH116" s="149">
        <f t="shared" ref="BH116:BH126" si="169">AB116+AC116+AD116+AR116+AV116+BB116+BC116+BD116+BE116+BF116+BG116</f>
        <v>667.94792119543149</v>
      </c>
      <c r="BI116" s="106">
        <f t="shared" si="165"/>
        <v>36.019800527918783</v>
      </c>
      <c r="BJ116" s="149">
        <f t="shared" si="166"/>
        <v>713.09243769208524</v>
      </c>
      <c r="BK116" s="154">
        <f t="shared" ref="BK116:BK127" si="170">BH116-AD116</f>
        <v>650.29821893675125</v>
      </c>
      <c r="BL116" s="62"/>
      <c r="BM116" s="62"/>
      <c r="BN116" s="62"/>
      <c r="BO116" s="39"/>
      <c r="BS116" s="48"/>
    </row>
    <row r="117" spans="1:71" ht="47.25">
      <c r="A117" s="74">
        <v>102</v>
      </c>
      <c r="B117" s="68" t="s">
        <v>366</v>
      </c>
      <c r="C117" s="77" t="s">
        <v>368</v>
      </c>
      <c r="D117" s="52" t="s">
        <v>336</v>
      </c>
      <c r="E117" s="10">
        <v>4</v>
      </c>
      <c r="F117" s="52">
        <v>56.44</v>
      </c>
      <c r="G117" s="52">
        <v>0</v>
      </c>
      <c r="H117" s="52">
        <f t="shared" si="154"/>
        <v>0</v>
      </c>
      <c r="I117" s="52"/>
      <c r="J117" s="52">
        <f t="shared" si="155"/>
        <v>0</v>
      </c>
      <c r="K117" s="52">
        <v>0</v>
      </c>
      <c r="L117" s="52">
        <f t="shared" si="156"/>
        <v>0</v>
      </c>
      <c r="M117" s="52">
        <v>0</v>
      </c>
      <c r="N117" s="52">
        <v>25</v>
      </c>
      <c r="O117" s="52">
        <f t="shared" si="157"/>
        <v>14.11</v>
      </c>
      <c r="P117" s="52"/>
      <c r="Q117" s="52"/>
      <c r="R117" s="52">
        <v>40</v>
      </c>
      <c r="S117" s="52">
        <f t="shared" si="145"/>
        <v>28.22</v>
      </c>
      <c r="T117" s="52">
        <v>30</v>
      </c>
      <c r="U117" s="52">
        <f t="shared" si="146"/>
        <v>29.631</v>
      </c>
      <c r="V117" s="52">
        <v>30</v>
      </c>
      <c r="W117" s="52">
        <f t="shared" si="147"/>
        <v>29.631</v>
      </c>
      <c r="X117" s="106">
        <f t="shared" si="148"/>
        <v>158.03200000000001</v>
      </c>
      <c r="Y117" s="106">
        <f t="shared" si="149"/>
        <v>1.5228426395939085</v>
      </c>
      <c r="Z117" s="106">
        <f t="shared" ref="Z117:Z125" si="171">X117*0.06</f>
        <v>9.4819200000000006</v>
      </c>
      <c r="AA117" s="106">
        <f t="shared" si="151"/>
        <v>11.062240000000001</v>
      </c>
      <c r="AB117" s="106">
        <f t="shared" si="152"/>
        <v>180.09900263959392</v>
      </c>
      <c r="AC117" s="106">
        <f t="shared" si="153"/>
        <v>54.389898797157365</v>
      </c>
      <c r="AD117" s="106">
        <f t="shared" si="158"/>
        <v>17.649702258680204</v>
      </c>
      <c r="AE117" s="106">
        <f t="shared" si="159"/>
        <v>9.1247159687350266</v>
      </c>
      <c r="AF117" s="106" t="s">
        <v>216</v>
      </c>
      <c r="AG117" s="106">
        <v>32.5</v>
      </c>
      <c r="AH117" s="106">
        <v>9</v>
      </c>
      <c r="AI117" s="130">
        <v>12.33</v>
      </c>
      <c r="AJ117" s="130">
        <v>12.96</v>
      </c>
      <c r="AK117" s="130">
        <v>13.68</v>
      </c>
      <c r="AL117" s="106">
        <f t="shared" si="160"/>
        <v>12.772500000000001</v>
      </c>
      <c r="AM117" s="106">
        <f t="shared" ref="AM117:AM125" si="172">AG117*AL117/100*23</f>
        <v>95.474437500000008</v>
      </c>
      <c r="AN117" s="106"/>
      <c r="AO117" s="106"/>
      <c r="AP117" s="106"/>
      <c r="AQ117" s="106">
        <f t="shared" si="162"/>
        <v>0</v>
      </c>
      <c r="AR117" s="106">
        <f t="shared" si="163"/>
        <v>95.474437500000008</v>
      </c>
      <c r="AS117" s="106"/>
      <c r="AT117" s="106"/>
      <c r="AU117" s="106"/>
      <c r="AV117" s="106">
        <f t="shared" ref="AV117:AV125" si="173">AL117/100*23*AU117/100*AT117</f>
        <v>0</v>
      </c>
      <c r="AW117" s="106">
        <v>50000</v>
      </c>
      <c r="AX117" s="106">
        <v>23</v>
      </c>
      <c r="AY117" s="106" t="s">
        <v>217</v>
      </c>
      <c r="AZ117" s="106">
        <v>7057</v>
      </c>
      <c r="BA117" s="106">
        <v>4</v>
      </c>
      <c r="BB117" s="106">
        <f t="shared" ref="BB117:BB125" si="174">AZ117*BA117/AW117*AX117</f>
        <v>12.984879999999999</v>
      </c>
      <c r="BC117" s="106">
        <v>48.62</v>
      </c>
      <c r="BD117" s="106">
        <v>17.510000000000002</v>
      </c>
      <c r="BE117" s="106">
        <v>236.03</v>
      </c>
      <c r="BF117" s="106">
        <v>5.19</v>
      </c>
      <c r="BG117" s="106"/>
      <c r="BH117" s="149">
        <f t="shared" si="169"/>
        <v>667.94792119543149</v>
      </c>
      <c r="BI117" s="106">
        <f t="shared" si="165"/>
        <v>36.019800527918783</v>
      </c>
      <c r="BJ117" s="149">
        <f t="shared" si="166"/>
        <v>713.09243769208524</v>
      </c>
      <c r="BK117" s="154">
        <f t="shared" si="170"/>
        <v>650.29821893675125</v>
      </c>
      <c r="BL117" s="62"/>
      <c r="BM117" s="62"/>
      <c r="BN117" s="62"/>
      <c r="BO117" s="39"/>
      <c r="BS117" s="48"/>
    </row>
    <row r="118" spans="1:71" ht="47.25">
      <c r="A118" s="40" t="s">
        <v>428</v>
      </c>
      <c r="B118" s="68" t="s">
        <v>366</v>
      </c>
      <c r="C118" s="77" t="s">
        <v>369</v>
      </c>
      <c r="D118" s="52" t="s">
        <v>336</v>
      </c>
      <c r="E118" s="10">
        <v>4</v>
      </c>
      <c r="F118" s="52">
        <v>56.44</v>
      </c>
      <c r="G118" s="52">
        <v>0</v>
      </c>
      <c r="H118" s="52">
        <f t="shared" si="154"/>
        <v>0</v>
      </c>
      <c r="I118" s="52"/>
      <c r="J118" s="52">
        <f t="shared" si="155"/>
        <v>0</v>
      </c>
      <c r="K118" s="52">
        <v>0</v>
      </c>
      <c r="L118" s="52">
        <f t="shared" si="156"/>
        <v>0</v>
      </c>
      <c r="M118" s="52">
        <v>0</v>
      </c>
      <c r="N118" s="52">
        <v>25</v>
      </c>
      <c r="O118" s="52">
        <f t="shared" si="157"/>
        <v>14.11</v>
      </c>
      <c r="P118" s="52"/>
      <c r="Q118" s="52"/>
      <c r="R118" s="52">
        <v>40</v>
      </c>
      <c r="S118" s="52">
        <f t="shared" si="145"/>
        <v>28.22</v>
      </c>
      <c r="T118" s="52">
        <v>30</v>
      </c>
      <c r="U118" s="52">
        <f t="shared" si="146"/>
        <v>29.631</v>
      </c>
      <c r="V118" s="52">
        <v>30</v>
      </c>
      <c r="W118" s="52">
        <f t="shared" si="147"/>
        <v>29.631</v>
      </c>
      <c r="X118" s="106">
        <f t="shared" si="148"/>
        <v>158.03200000000001</v>
      </c>
      <c r="Y118" s="106">
        <f t="shared" si="149"/>
        <v>1.5228426395939085</v>
      </c>
      <c r="Z118" s="106">
        <f t="shared" si="171"/>
        <v>9.4819200000000006</v>
      </c>
      <c r="AA118" s="106">
        <f t="shared" si="151"/>
        <v>11.062240000000001</v>
      </c>
      <c r="AB118" s="106">
        <f t="shared" si="152"/>
        <v>180.09900263959392</v>
      </c>
      <c r="AC118" s="106">
        <f t="shared" si="153"/>
        <v>54.389898797157365</v>
      </c>
      <c r="AD118" s="106">
        <f t="shared" si="158"/>
        <v>17.649702258680204</v>
      </c>
      <c r="AE118" s="106">
        <f t="shared" si="159"/>
        <v>9.1247159687350266</v>
      </c>
      <c r="AF118" s="106" t="s">
        <v>216</v>
      </c>
      <c r="AG118" s="106">
        <v>32.5</v>
      </c>
      <c r="AH118" s="106">
        <v>9</v>
      </c>
      <c r="AI118" s="130">
        <v>12.33</v>
      </c>
      <c r="AJ118" s="130">
        <v>12.96</v>
      </c>
      <c r="AK118" s="130">
        <v>13.68</v>
      </c>
      <c r="AL118" s="106">
        <f t="shared" si="160"/>
        <v>12.772500000000001</v>
      </c>
      <c r="AM118" s="106">
        <f t="shared" si="172"/>
        <v>95.474437500000008</v>
      </c>
      <c r="AN118" s="106"/>
      <c r="AO118" s="106"/>
      <c r="AP118" s="106"/>
      <c r="AQ118" s="106">
        <f t="shared" si="162"/>
        <v>0</v>
      </c>
      <c r="AR118" s="106">
        <f t="shared" si="163"/>
        <v>95.474437500000008</v>
      </c>
      <c r="AS118" s="106"/>
      <c r="AT118" s="106"/>
      <c r="AU118" s="106"/>
      <c r="AV118" s="106">
        <f t="shared" si="173"/>
        <v>0</v>
      </c>
      <c r="AW118" s="106">
        <v>50000</v>
      </c>
      <c r="AX118" s="106">
        <v>23</v>
      </c>
      <c r="AY118" s="106" t="s">
        <v>217</v>
      </c>
      <c r="AZ118" s="106">
        <v>7057</v>
      </c>
      <c r="BA118" s="106">
        <v>4</v>
      </c>
      <c r="BB118" s="106">
        <f t="shared" si="174"/>
        <v>12.984879999999999</v>
      </c>
      <c r="BC118" s="106">
        <v>48.62</v>
      </c>
      <c r="BD118" s="106">
        <v>17.510000000000002</v>
      </c>
      <c r="BE118" s="106">
        <v>236.03</v>
      </c>
      <c r="BF118" s="106">
        <v>5.19</v>
      </c>
      <c r="BG118" s="106"/>
      <c r="BH118" s="149">
        <f t="shared" si="169"/>
        <v>667.94792119543149</v>
      </c>
      <c r="BI118" s="106">
        <f t="shared" si="165"/>
        <v>36.019800527918783</v>
      </c>
      <c r="BJ118" s="149">
        <f t="shared" si="166"/>
        <v>713.09243769208524</v>
      </c>
      <c r="BK118" s="154">
        <f t="shared" si="170"/>
        <v>650.29821893675125</v>
      </c>
      <c r="BL118" s="62"/>
      <c r="BM118" s="62"/>
      <c r="BN118" s="62"/>
      <c r="BO118" s="39"/>
      <c r="BS118" s="48"/>
    </row>
    <row r="119" spans="1:71" ht="47.25">
      <c r="A119" s="40" t="s">
        <v>429</v>
      </c>
      <c r="B119" s="68" t="s">
        <v>366</v>
      </c>
      <c r="C119" s="77" t="s">
        <v>370</v>
      </c>
      <c r="D119" s="52" t="s">
        <v>336</v>
      </c>
      <c r="E119" s="10">
        <v>4</v>
      </c>
      <c r="F119" s="52">
        <v>56.44</v>
      </c>
      <c r="G119" s="52">
        <v>0</v>
      </c>
      <c r="H119" s="52">
        <f t="shared" si="154"/>
        <v>0</v>
      </c>
      <c r="I119" s="52"/>
      <c r="J119" s="52">
        <f t="shared" si="155"/>
        <v>0</v>
      </c>
      <c r="K119" s="52">
        <v>0</v>
      </c>
      <c r="L119" s="52">
        <f t="shared" si="156"/>
        <v>0</v>
      </c>
      <c r="M119" s="52">
        <v>0</v>
      </c>
      <c r="N119" s="52">
        <v>25</v>
      </c>
      <c r="O119" s="52">
        <f t="shared" si="157"/>
        <v>14.11</v>
      </c>
      <c r="P119" s="52"/>
      <c r="Q119" s="52"/>
      <c r="R119" s="52">
        <v>40</v>
      </c>
      <c r="S119" s="52">
        <f t="shared" si="145"/>
        <v>28.22</v>
      </c>
      <c r="T119" s="52">
        <v>30</v>
      </c>
      <c r="U119" s="52">
        <f t="shared" si="146"/>
        <v>29.631</v>
      </c>
      <c r="V119" s="52">
        <v>30</v>
      </c>
      <c r="W119" s="52">
        <f t="shared" si="147"/>
        <v>29.631</v>
      </c>
      <c r="X119" s="106">
        <f t="shared" si="148"/>
        <v>158.03200000000001</v>
      </c>
      <c r="Y119" s="106">
        <f t="shared" si="149"/>
        <v>1.5228426395939085</v>
      </c>
      <c r="Z119" s="106">
        <f t="shared" si="171"/>
        <v>9.4819200000000006</v>
      </c>
      <c r="AA119" s="106">
        <f t="shared" si="151"/>
        <v>11.062240000000001</v>
      </c>
      <c r="AB119" s="106">
        <f t="shared" si="152"/>
        <v>180.09900263959392</v>
      </c>
      <c r="AC119" s="106">
        <f t="shared" si="153"/>
        <v>54.389898797157365</v>
      </c>
      <c r="AD119" s="106">
        <f t="shared" si="158"/>
        <v>17.649702258680204</v>
      </c>
      <c r="AE119" s="106">
        <f t="shared" si="159"/>
        <v>9.1247159687350266</v>
      </c>
      <c r="AF119" s="106" t="s">
        <v>216</v>
      </c>
      <c r="AG119" s="106">
        <v>32.5</v>
      </c>
      <c r="AH119" s="106">
        <v>9</v>
      </c>
      <c r="AI119" s="130">
        <v>12.33</v>
      </c>
      <c r="AJ119" s="130">
        <v>12.96</v>
      </c>
      <c r="AK119" s="130">
        <v>13.68</v>
      </c>
      <c r="AL119" s="106">
        <f t="shared" si="160"/>
        <v>12.772500000000001</v>
      </c>
      <c r="AM119" s="106">
        <f t="shared" si="172"/>
        <v>95.474437500000008</v>
      </c>
      <c r="AN119" s="106"/>
      <c r="AO119" s="106"/>
      <c r="AP119" s="106"/>
      <c r="AQ119" s="106">
        <f t="shared" si="162"/>
        <v>0</v>
      </c>
      <c r="AR119" s="106">
        <f t="shared" si="163"/>
        <v>95.474437500000008</v>
      </c>
      <c r="AS119" s="106"/>
      <c r="AT119" s="106"/>
      <c r="AU119" s="106"/>
      <c r="AV119" s="106">
        <f t="shared" si="173"/>
        <v>0</v>
      </c>
      <c r="AW119" s="106">
        <v>50000</v>
      </c>
      <c r="AX119" s="106">
        <v>23</v>
      </c>
      <c r="AY119" s="106" t="s">
        <v>217</v>
      </c>
      <c r="AZ119" s="106">
        <v>7057</v>
      </c>
      <c r="BA119" s="106">
        <v>4</v>
      </c>
      <c r="BB119" s="106">
        <f t="shared" si="174"/>
        <v>12.984879999999999</v>
      </c>
      <c r="BC119" s="106">
        <v>48.62</v>
      </c>
      <c r="BD119" s="106">
        <v>17.510000000000002</v>
      </c>
      <c r="BE119" s="106">
        <v>236.03</v>
      </c>
      <c r="BF119" s="106">
        <v>5.19</v>
      </c>
      <c r="BG119" s="106"/>
      <c r="BH119" s="149">
        <f t="shared" si="169"/>
        <v>667.94792119543149</v>
      </c>
      <c r="BI119" s="106">
        <f t="shared" si="165"/>
        <v>36.019800527918783</v>
      </c>
      <c r="BJ119" s="149">
        <f t="shared" si="166"/>
        <v>713.09243769208524</v>
      </c>
      <c r="BK119" s="154">
        <f t="shared" si="170"/>
        <v>650.29821893675125</v>
      </c>
      <c r="BL119" s="62"/>
      <c r="BM119" s="62"/>
      <c r="BN119" s="62"/>
      <c r="BO119" s="39"/>
      <c r="BS119" s="48"/>
    </row>
    <row r="120" spans="1:71" ht="47.25">
      <c r="A120" s="40" t="s">
        <v>430</v>
      </c>
      <c r="B120" s="68" t="s">
        <v>366</v>
      </c>
      <c r="C120" s="77" t="s">
        <v>371</v>
      </c>
      <c r="D120" s="52" t="s">
        <v>336</v>
      </c>
      <c r="E120" s="10">
        <v>4</v>
      </c>
      <c r="F120" s="52">
        <v>56.44</v>
      </c>
      <c r="G120" s="52">
        <v>0</v>
      </c>
      <c r="H120" s="52">
        <f t="shared" si="154"/>
        <v>0</v>
      </c>
      <c r="I120" s="52"/>
      <c r="J120" s="52">
        <f t="shared" si="155"/>
        <v>0</v>
      </c>
      <c r="K120" s="52">
        <v>0</v>
      </c>
      <c r="L120" s="52">
        <f t="shared" si="156"/>
        <v>0</v>
      </c>
      <c r="M120" s="52">
        <v>0</v>
      </c>
      <c r="N120" s="52">
        <v>25</v>
      </c>
      <c r="O120" s="52">
        <f t="shared" si="157"/>
        <v>14.11</v>
      </c>
      <c r="P120" s="52"/>
      <c r="Q120" s="52"/>
      <c r="R120" s="52">
        <v>40</v>
      </c>
      <c r="S120" s="52">
        <f t="shared" si="145"/>
        <v>28.22</v>
      </c>
      <c r="T120" s="52">
        <v>30</v>
      </c>
      <c r="U120" s="52">
        <f t="shared" si="146"/>
        <v>29.631</v>
      </c>
      <c r="V120" s="52">
        <v>30</v>
      </c>
      <c r="W120" s="52">
        <f t="shared" si="147"/>
        <v>29.631</v>
      </c>
      <c r="X120" s="106">
        <f t="shared" si="148"/>
        <v>158.03200000000001</v>
      </c>
      <c r="Y120" s="106">
        <f t="shared" si="149"/>
        <v>1.5228426395939085</v>
      </c>
      <c r="Z120" s="106">
        <f t="shared" si="171"/>
        <v>9.4819200000000006</v>
      </c>
      <c r="AA120" s="106">
        <f t="shared" si="151"/>
        <v>11.062240000000001</v>
      </c>
      <c r="AB120" s="106">
        <f t="shared" si="152"/>
        <v>180.09900263959392</v>
      </c>
      <c r="AC120" s="106">
        <f t="shared" si="153"/>
        <v>54.389898797157365</v>
      </c>
      <c r="AD120" s="106">
        <f t="shared" si="158"/>
        <v>17.649702258680204</v>
      </c>
      <c r="AE120" s="106">
        <f t="shared" si="159"/>
        <v>9.1247159687350266</v>
      </c>
      <c r="AF120" s="106" t="s">
        <v>216</v>
      </c>
      <c r="AG120" s="106">
        <v>32.5</v>
      </c>
      <c r="AH120" s="106">
        <v>9</v>
      </c>
      <c r="AI120" s="130">
        <v>12.33</v>
      </c>
      <c r="AJ120" s="130">
        <v>12.96</v>
      </c>
      <c r="AK120" s="130">
        <v>13.68</v>
      </c>
      <c r="AL120" s="106">
        <f t="shared" si="160"/>
        <v>12.772500000000001</v>
      </c>
      <c r="AM120" s="106">
        <f t="shared" si="172"/>
        <v>95.474437500000008</v>
      </c>
      <c r="AN120" s="106"/>
      <c r="AO120" s="106"/>
      <c r="AP120" s="106"/>
      <c r="AQ120" s="106">
        <f t="shared" si="162"/>
        <v>0</v>
      </c>
      <c r="AR120" s="106">
        <f t="shared" si="163"/>
        <v>95.474437500000008</v>
      </c>
      <c r="AS120" s="106"/>
      <c r="AT120" s="106"/>
      <c r="AU120" s="106"/>
      <c r="AV120" s="106">
        <f t="shared" si="173"/>
        <v>0</v>
      </c>
      <c r="AW120" s="106">
        <v>50000</v>
      </c>
      <c r="AX120" s="106">
        <v>23</v>
      </c>
      <c r="AY120" s="106" t="s">
        <v>217</v>
      </c>
      <c r="AZ120" s="106">
        <v>7057</v>
      </c>
      <c r="BA120" s="106">
        <v>4</v>
      </c>
      <c r="BB120" s="106">
        <f t="shared" si="174"/>
        <v>12.984879999999999</v>
      </c>
      <c r="BC120" s="106">
        <v>48.62</v>
      </c>
      <c r="BD120" s="106">
        <v>17.510000000000002</v>
      </c>
      <c r="BE120" s="106">
        <v>236.03</v>
      </c>
      <c r="BF120" s="106">
        <v>5.19</v>
      </c>
      <c r="BG120" s="106"/>
      <c r="BH120" s="149">
        <f t="shared" si="169"/>
        <v>667.94792119543149</v>
      </c>
      <c r="BI120" s="106">
        <f t="shared" si="165"/>
        <v>36.019800527918783</v>
      </c>
      <c r="BJ120" s="149">
        <f t="shared" si="166"/>
        <v>713.09243769208524</v>
      </c>
      <c r="BK120" s="154">
        <f t="shared" si="170"/>
        <v>650.29821893675125</v>
      </c>
      <c r="BL120" s="62"/>
      <c r="BM120" s="62"/>
      <c r="BN120" s="62"/>
      <c r="BO120" s="39"/>
      <c r="BS120" s="48"/>
    </row>
    <row r="121" spans="1:71" ht="47.25">
      <c r="A121" s="40" t="s">
        <v>431</v>
      </c>
      <c r="B121" s="68" t="s">
        <v>366</v>
      </c>
      <c r="C121" s="77" t="s">
        <v>372</v>
      </c>
      <c r="D121" s="52" t="s">
        <v>336</v>
      </c>
      <c r="E121" s="10">
        <v>4</v>
      </c>
      <c r="F121" s="52">
        <v>56.44</v>
      </c>
      <c r="G121" s="52">
        <v>0</v>
      </c>
      <c r="H121" s="52">
        <f t="shared" si="154"/>
        <v>0</v>
      </c>
      <c r="I121" s="52"/>
      <c r="J121" s="52">
        <f t="shared" si="155"/>
        <v>0</v>
      </c>
      <c r="K121" s="52">
        <v>0</v>
      </c>
      <c r="L121" s="52">
        <f t="shared" si="156"/>
        <v>0</v>
      </c>
      <c r="M121" s="52">
        <v>0</v>
      </c>
      <c r="N121" s="52">
        <v>25</v>
      </c>
      <c r="O121" s="52">
        <f t="shared" si="157"/>
        <v>14.11</v>
      </c>
      <c r="P121" s="52"/>
      <c r="Q121" s="52"/>
      <c r="R121" s="52">
        <v>40</v>
      </c>
      <c r="S121" s="52">
        <f t="shared" si="145"/>
        <v>28.22</v>
      </c>
      <c r="T121" s="52">
        <v>30</v>
      </c>
      <c r="U121" s="52">
        <f t="shared" si="146"/>
        <v>29.631</v>
      </c>
      <c r="V121" s="52">
        <v>30</v>
      </c>
      <c r="W121" s="52">
        <f t="shared" si="147"/>
        <v>29.631</v>
      </c>
      <c r="X121" s="106">
        <f t="shared" si="148"/>
        <v>158.03200000000001</v>
      </c>
      <c r="Y121" s="106">
        <f t="shared" si="149"/>
        <v>1.5228426395939085</v>
      </c>
      <c r="Z121" s="106">
        <f t="shared" si="171"/>
        <v>9.4819200000000006</v>
      </c>
      <c r="AA121" s="106">
        <f t="shared" si="151"/>
        <v>11.062240000000001</v>
      </c>
      <c r="AB121" s="106">
        <f t="shared" si="152"/>
        <v>180.09900263959392</v>
      </c>
      <c r="AC121" s="106">
        <f t="shared" si="153"/>
        <v>54.389898797157365</v>
      </c>
      <c r="AD121" s="106">
        <f t="shared" si="158"/>
        <v>17.649702258680204</v>
      </c>
      <c r="AE121" s="106">
        <f t="shared" si="159"/>
        <v>9.1247159687350266</v>
      </c>
      <c r="AF121" s="106" t="s">
        <v>216</v>
      </c>
      <c r="AG121" s="106">
        <v>32.5</v>
      </c>
      <c r="AH121" s="106">
        <v>9</v>
      </c>
      <c r="AI121" s="130">
        <v>12.33</v>
      </c>
      <c r="AJ121" s="130">
        <v>12.96</v>
      </c>
      <c r="AK121" s="130">
        <v>13.68</v>
      </c>
      <c r="AL121" s="106">
        <f t="shared" si="160"/>
        <v>12.772500000000001</v>
      </c>
      <c r="AM121" s="106">
        <f t="shared" si="172"/>
        <v>95.474437500000008</v>
      </c>
      <c r="AN121" s="106"/>
      <c r="AO121" s="106"/>
      <c r="AP121" s="106"/>
      <c r="AQ121" s="106">
        <f t="shared" si="162"/>
        <v>0</v>
      </c>
      <c r="AR121" s="106">
        <f t="shared" si="163"/>
        <v>95.474437500000008</v>
      </c>
      <c r="AS121" s="106"/>
      <c r="AT121" s="106"/>
      <c r="AU121" s="106"/>
      <c r="AV121" s="106">
        <f t="shared" si="173"/>
        <v>0</v>
      </c>
      <c r="AW121" s="106">
        <v>50000</v>
      </c>
      <c r="AX121" s="106">
        <v>23</v>
      </c>
      <c r="AY121" s="106" t="s">
        <v>217</v>
      </c>
      <c r="AZ121" s="106">
        <v>7057</v>
      </c>
      <c r="BA121" s="106">
        <v>4</v>
      </c>
      <c r="BB121" s="106">
        <f t="shared" si="174"/>
        <v>12.984879999999999</v>
      </c>
      <c r="BC121" s="106">
        <v>48.62</v>
      </c>
      <c r="BD121" s="106">
        <v>17.510000000000002</v>
      </c>
      <c r="BE121" s="106">
        <v>236.03</v>
      </c>
      <c r="BF121" s="106">
        <v>5.19</v>
      </c>
      <c r="BG121" s="106"/>
      <c r="BH121" s="149">
        <f t="shared" si="169"/>
        <v>667.94792119543149</v>
      </c>
      <c r="BI121" s="106">
        <f t="shared" si="165"/>
        <v>36.019800527918783</v>
      </c>
      <c r="BJ121" s="149">
        <f t="shared" si="166"/>
        <v>713.09243769208524</v>
      </c>
      <c r="BK121" s="154">
        <f t="shared" si="170"/>
        <v>650.29821893675125</v>
      </c>
      <c r="BL121" s="62"/>
      <c r="BM121" s="62"/>
      <c r="BN121" s="62"/>
      <c r="BO121" s="39"/>
      <c r="BS121" s="48"/>
    </row>
    <row r="122" spans="1:71" ht="47.25">
      <c r="A122" s="40" t="s">
        <v>432</v>
      </c>
      <c r="B122" s="68" t="s">
        <v>366</v>
      </c>
      <c r="C122" s="77" t="s">
        <v>373</v>
      </c>
      <c r="D122" s="52" t="s">
        <v>336</v>
      </c>
      <c r="E122" s="10">
        <v>4</v>
      </c>
      <c r="F122" s="52">
        <v>56.44</v>
      </c>
      <c r="G122" s="52">
        <v>0</v>
      </c>
      <c r="H122" s="52">
        <f t="shared" si="154"/>
        <v>0</v>
      </c>
      <c r="I122" s="52"/>
      <c r="J122" s="52">
        <f t="shared" si="155"/>
        <v>0</v>
      </c>
      <c r="K122" s="52">
        <v>0</v>
      </c>
      <c r="L122" s="52">
        <f t="shared" si="156"/>
        <v>0</v>
      </c>
      <c r="M122" s="52">
        <v>0</v>
      </c>
      <c r="N122" s="52">
        <v>25</v>
      </c>
      <c r="O122" s="52">
        <f t="shared" si="157"/>
        <v>14.11</v>
      </c>
      <c r="P122" s="52"/>
      <c r="Q122" s="52"/>
      <c r="R122" s="52">
        <v>40</v>
      </c>
      <c r="S122" s="52">
        <f t="shared" si="145"/>
        <v>28.22</v>
      </c>
      <c r="T122" s="52">
        <v>30</v>
      </c>
      <c r="U122" s="52">
        <f t="shared" si="146"/>
        <v>29.631</v>
      </c>
      <c r="V122" s="52">
        <v>30</v>
      </c>
      <c r="W122" s="52">
        <f t="shared" si="147"/>
        <v>29.631</v>
      </c>
      <c r="X122" s="106">
        <f t="shared" si="148"/>
        <v>158.03200000000001</v>
      </c>
      <c r="Y122" s="106">
        <f t="shared" si="149"/>
        <v>1.5228426395939085</v>
      </c>
      <c r="Z122" s="106">
        <f t="shared" si="171"/>
        <v>9.4819200000000006</v>
      </c>
      <c r="AA122" s="106">
        <f t="shared" si="151"/>
        <v>11.062240000000001</v>
      </c>
      <c r="AB122" s="106">
        <f t="shared" si="152"/>
        <v>180.09900263959392</v>
      </c>
      <c r="AC122" s="106">
        <f t="shared" si="153"/>
        <v>54.389898797157365</v>
      </c>
      <c r="AD122" s="106">
        <f t="shared" si="158"/>
        <v>17.649702258680204</v>
      </c>
      <c r="AE122" s="106">
        <f t="shared" si="159"/>
        <v>9.1247159687350266</v>
      </c>
      <c r="AF122" s="106" t="s">
        <v>216</v>
      </c>
      <c r="AG122" s="106">
        <v>32.5</v>
      </c>
      <c r="AH122" s="106">
        <v>9</v>
      </c>
      <c r="AI122" s="130">
        <v>12.33</v>
      </c>
      <c r="AJ122" s="130">
        <v>12.96</v>
      </c>
      <c r="AK122" s="130">
        <v>13.68</v>
      </c>
      <c r="AL122" s="106">
        <f t="shared" si="160"/>
        <v>12.772500000000001</v>
      </c>
      <c r="AM122" s="106">
        <f t="shared" si="172"/>
        <v>95.474437500000008</v>
      </c>
      <c r="AN122" s="106"/>
      <c r="AO122" s="106"/>
      <c r="AP122" s="106"/>
      <c r="AQ122" s="106">
        <f t="shared" si="162"/>
        <v>0</v>
      </c>
      <c r="AR122" s="106">
        <f t="shared" si="163"/>
        <v>95.474437500000008</v>
      </c>
      <c r="AS122" s="106"/>
      <c r="AT122" s="106"/>
      <c r="AU122" s="106"/>
      <c r="AV122" s="106">
        <f t="shared" si="173"/>
        <v>0</v>
      </c>
      <c r="AW122" s="106">
        <v>50000</v>
      </c>
      <c r="AX122" s="106">
        <v>23</v>
      </c>
      <c r="AY122" s="106" t="s">
        <v>217</v>
      </c>
      <c r="AZ122" s="106">
        <v>7057</v>
      </c>
      <c r="BA122" s="106">
        <v>4</v>
      </c>
      <c r="BB122" s="106">
        <f t="shared" si="174"/>
        <v>12.984879999999999</v>
      </c>
      <c r="BC122" s="106">
        <v>48.62</v>
      </c>
      <c r="BD122" s="106">
        <v>17.510000000000002</v>
      </c>
      <c r="BE122" s="106">
        <v>236.03</v>
      </c>
      <c r="BF122" s="106">
        <v>5.19</v>
      </c>
      <c r="BG122" s="106"/>
      <c r="BH122" s="149">
        <f t="shared" si="169"/>
        <v>667.94792119543149</v>
      </c>
      <c r="BI122" s="106">
        <f t="shared" si="165"/>
        <v>36.019800527918783</v>
      </c>
      <c r="BJ122" s="149">
        <f t="shared" si="166"/>
        <v>713.09243769208524</v>
      </c>
      <c r="BK122" s="154">
        <f t="shared" si="170"/>
        <v>650.29821893675125</v>
      </c>
      <c r="BL122" s="62"/>
      <c r="BM122" s="62"/>
      <c r="BN122" s="62"/>
      <c r="BO122" s="39"/>
      <c r="BS122" s="48"/>
    </row>
    <row r="123" spans="1:71" ht="47.25">
      <c r="A123" s="40" t="s">
        <v>433</v>
      </c>
      <c r="B123" s="68" t="s">
        <v>366</v>
      </c>
      <c r="C123" s="77" t="s">
        <v>374</v>
      </c>
      <c r="D123" s="52" t="s">
        <v>336</v>
      </c>
      <c r="E123" s="10">
        <v>4</v>
      </c>
      <c r="F123" s="52">
        <v>56.44</v>
      </c>
      <c r="G123" s="52">
        <v>0</v>
      </c>
      <c r="H123" s="52">
        <f t="shared" si="154"/>
        <v>0</v>
      </c>
      <c r="I123" s="52"/>
      <c r="J123" s="52">
        <f t="shared" si="155"/>
        <v>0</v>
      </c>
      <c r="K123" s="52">
        <v>0</v>
      </c>
      <c r="L123" s="52">
        <f t="shared" si="156"/>
        <v>0</v>
      </c>
      <c r="M123" s="52">
        <v>0</v>
      </c>
      <c r="N123" s="52">
        <v>25</v>
      </c>
      <c r="O123" s="52">
        <f t="shared" si="157"/>
        <v>14.11</v>
      </c>
      <c r="P123" s="52"/>
      <c r="Q123" s="52"/>
      <c r="R123" s="52">
        <v>40</v>
      </c>
      <c r="S123" s="52">
        <f t="shared" si="145"/>
        <v>28.22</v>
      </c>
      <c r="T123" s="52">
        <v>30</v>
      </c>
      <c r="U123" s="52">
        <f t="shared" si="146"/>
        <v>29.631</v>
      </c>
      <c r="V123" s="52">
        <v>30</v>
      </c>
      <c r="W123" s="52">
        <f t="shared" si="147"/>
        <v>29.631</v>
      </c>
      <c r="X123" s="106">
        <f t="shared" si="148"/>
        <v>158.03200000000001</v>
      </c>
      <c r="Y123" s="106">
        <f t="shared" si="149"/>
        <v>1.5228426395939085</v>
      </c>
      <c r="Z123" s="106">
        <f t="shared" si="171"/>
        <v>9.4819200000000006</v>
      </c>
      <c r="AA123" s="106">
        <f t="shared" si="151"/>
        <v>11.062240000000001</v>
      </c>
      <c r="AB123" s="106">
        <f t="shared" si="152"/>
        <v>180.09900263959392</v>
      </c>
      <c r="AC123" s="106">
        <f t="shared" si="153"/>
        <v>54.389898797157365</v>
      </c>
      <c r="AD123" s="106">
        <f t="shared" si="158"/>
        <v>17.649702258680204</v>
      </c>
      <c r="AE123" s="106">
        <f t="shared" si="159"/>
        <v>9.1247159687350266</v>
      </c>
      <c r="AF123" s="106" t="s">
        <v>216</v>
      </c>
      <c r="AG123" s="106">
        <v>32.5</v>
      </c>
      <c r="AH123" s="106">
        <v>9</v>
      </c>
      <c r="AI123" s="130">
        <v>12.33</v>
      </c>
      <c r="AJ123" s="130">
        <v>12.96</v>
      </c>
      <c r="AK123" s="130">
        <v>13.68</v>
      </c>
      <c r="AL123" s="106">
        <f t="shared" si="160"/>
        <v>12.772500000000001</v>
      </c>
      <c r="AM123" s="106">
        <f t="shared" si="172"/>
        <v>95.474437500000008</v>
      </c>
      <c r="AN123" s="106"/>
      <c r="AO123" s="106"/>
      <c r="AP123" s="106"/>
      <c r="AQ123" s="106">
        <f t="shared" si="162"/>
        <v>0</v>
      </c>
      <c r="AR123" s="106">
        <f t="shared" si="163"/>
        <v>95.474437500000008</v>
      </c>
      <c r="AS123" s="106"/>
      <c r="AT123" s="106"/>
      <c r="AU123" s="106"/>
      <c r="AV123" s="106">
        <f t="shared" si="173"/>
        <v>0</v>
      </c>
      <c r="AW123" s="106">
        <v>50000</v>
      </c>
      <c r="AX123" s="106">
        <v>23</v>
      </c>
      <c r="AY123" s="106" t="s">
        <v>217</v>
      </c>
      <c r="AZ123" s="106">
        <v>7057</v>
      </c>
      <c r="BA123" s="106">
        <v>4</v>
      </c>
      <c r="BB123" s="106">
        <f t="shared" si="174"/>
        <v>12.984879999999999</v>
      </c>
      <c r="BC123" s="106">
        <v>48.62</v>
      </c>
      <c r="BD123" s="106">
        <v>17.510000000000002</v>
      </c>
      <c r="BE123" s="106">
        <v>236.03</v>
      </c>
      <c r="BF123" s="106">
        <v>5.19</v>
      </c>
      <c r="BG123" s="106"/>
      <c r="BH123" s="149">
        <f t="shared" si="169"/>
        <v>667.94792119543149</v>
      </c>
      <c r="BI123" s="106">
        <f t="shared" si="165"/>
        <v>36.019800527918783</v>
      </c>
      <c r="BJ123" s="149">
        <f t="shared" si="166"/>
        <v>713.09243769208524</v>
      </c>
      <c r="BK123" s="154">
        <f t="shared" si="170"/>
        <v>650.29821893675125</v>
      </c>
      <c r="BL123" s="62"/>
      <c r="BM123" s="62"/>
      <c r="BN123" s="62"/>
      <c r="BO123" s="39"/>
      <c r="BS123" s="48"/>
    </row>
    <row r="124" spans="1:71" ht="47.25">
      <c r="A124" s="40" t="s">
        <v>434</v>
      </c>
      <c r="B124" s="68" t="s">
        <v>366</v>
      </c>
      <c r="C124" s="77" t="s">
        <v>375</v>
      </c>
      <c r="D124" s="52" t="s">
        <v>336</v>
      </c>
      <c r="E124" s="10">
        <v>4</v>
      </c>
      <c r="F124" s="52">
        <v>56.44</v>
      </c>
      <c r="G124" s="52">
        <v>0</v>
      </c>
      <c r="H124" s="52">
        <f t="shared" si="154"/>
        <v>0</v>
      </c>
      <c r="I124" s="52"/>
      <c r="J124" s="52">
        <f t="shared" si="155"/>
        <v>0</v>
      </c>
      <c r="K124" s="52">
        <v>0</v>
      </c>
      <c r="L124" s="52">
        <f t="shared" si="156"/>
        <v>0</v>
      </c>
      <c r="M124" s="52">
        <v>0</v>
      </c>
      <c r="N124" s="52">
        <v>25</v>
      </c>
      <c r="O124" s="52">
        <f t="shared" si="157"/>
        <v>14.11</v>
      </c>
      <c r="P124" s="52"/>
      <c r="Q124" s="52"/>
      <c r="R124" s="52">
        <v>40</v>
      </c>
      <c r="S124" s="52">
        <f t="shared" si="145"/>
        <v>28.22</v>
      </c>
      <c r="T124" s="52">
        <v>30</v>
      </c>
      <c r="U124" s="52">
        <f t="shared" si="146"/>
        <v>29.631</v>
      </c>
      <c r="V124" s="52">
        <v>30</v>
      </c>
      <c r="W124" s="52">
        <f t="shared" si="147"/>
        <v>29.631</v>
      </c>
      <c r="X124" s="106">
        <f t="shared" si="148"/>
        <v>158.03200000000001</v>
      </c>
      <c r="Y124" s="106">
        <f t="shared" si="149"/>
        <v>1.5228426395939085</v>
      </c>
      <c r="Z124" s="106">
        <f t="shared" si="171"/>
        <v>9.4819200000000006</v>
      </c>
      <c r="AA124" s="106">
        <f t="shared" si="151"/>
        <v>11.062240000000001</v>
      </c>
      <c r="AB124" s="106">
        <f t="shared" si="152"/>
        <v>180.09900263959392</v>
      </c>
      <c r="AC124" s="106">
        <f t="shared" si="153"/>
        <v>54.389898797157365</v>
      </c>
      <c r="AD124" s="106">
        <f t="shared" si="158"/>
        <v>17.649702258680204</v>
      </c>
      <c r="AE124" s="106">
        <f t="shared" si="159"/>
        <v>9.1247159687350266</v>
      </c>
      <c r="AF124" s="106" t="s">
        <v>216</v>
      </c>
      <c r="AG124" s="106">
        <v>32.5</v>
      </c>
      <c r="AH124" s="106">
        <v>9</v>
      </c>
      <c r="AI124" s="130">
        <v>12.33</v>
      </c>
      <c r="AJ124" s="130">
        <v>12.96</v>
      </c>
      <c r="AK124" s="130">
        <v>13.68</v>
      </c>
      <c r="AL124" s="106">
        <f t="shared" si="160"/>
        <v>12.772500000000001</v>
      </c>
      <c r="AM124" s="106">
        <f t="shared" si="172"/>
        <v>95.474437500000008</v>
      </c>
      <c r="AN124" s="106"/>
      <c r="AO124" s="106"/>
      <c r="AP124" s="106"/>
      <c r="AQ124" s="106">
        <f t="shared" si="162"/>
        <v>0</v>
      </c>
      <c r="AR124" s="106">
        <f t="shared" si="163"/>
        <v>95.474437500000008</v>
      </c>
      <c r="AS124" s="106"/>
      <c r="AT124" s="106"/>
      <c r="AU124" s="106"/>
      <c r="AV124" s="106">
        <f t="shared" si="173"/>
        <v>0</v>
      </c>
      <c r="AW124" s="106">
        <v>50000</v>
      </c>
      <c r="AX124" s="106">
        <v>23</v>
      </c>
      <c r="AY124" s="106" t="s">
        <v>217</v>
      </c>
      <c r="AZ124" s="106">
        <v>7057</v>
      </c>
      <c r="BA124" s="106">
        <v>4</v>
      </c>
      <c r="BB124" s="106">
        <f t="shared" si="174"/>
        <v>12.984879999999999</v>
      </c>
      <c r="BC124" s="106">
        <v>48.62</v>
      </c>
      <c r="BD124" s="106">
        <v>17.510000000000002</v>
      </c>
      <c r="BE124" s="106">
        <v>236.03</v>
      </c>
      <c r="BF124" s="106">
        <v>5.19</v>
      </c>
      <c r="BG124" s="106"/>
      <c r="BH124" s="149">
        <f t="shared" si="169"/>
        <v>667.94792119543149</v>
      </c>
      <c r="BI124" s="106">
        <f t="shared" si="165"/>
        <v>36.019800527918783</v>
      </c>
      <c r="BJ124" s="149">
        <f t="shared" si="166"/>
        <v>713.09243769208524</v>
      </c>
      <c r="BK124" s="154">
        <f t="shared" si="170"/>
        <v>650.29821893675125</v>
      </c>
      <c r="BL124" s="62"/>
      <c r="BM124" s="62"/>
      <c r="BN124" s="62"/>
      <c r="BO124" s="39"/>
      <c r="BS124" s="48"/>
    </row>
    <row r="125" spans="1:71" ht="47.25">
      <c r="A125" s="40" t="s">
        <v>435</v>
      </c>
      <c r="B125" s="68" t="s">
        <v>366</v>
      </c>
      <c r="C125" s="77" t="s">
        <v>376</v>
      </c>
      <c r="D125" s="52" t="s">
        <v>336</v>
      </c>
      <c r="E125" s="10">
        <v>4</v>
      </c>
      <c r="F125" s="52">
        <v>56.44</v>
      </c>
      <c r="G125" s="52">
        <v>0</v>
      </c>
      <c r="H125" s="52">
        <f t="shared" si="154"/>
        <v>0</v>
      </c>
      <c r="I125" s="52"/>
      <c r="J125" s="52">
        <f t="shared" si="155"/>
        <v>0</v>
      </c>
      <c r="K125" s="52">
        <v>0</v>
      </c>
      <c r="L125" s="52">
        <f t="shared" si="156"/>
        <v>0</v>
      </c>
      <c r="M125" s="52">
        <v>0</v>
      </c>
      <c r="N125" s="52">
        <v>25</v>
      </c>
      <c r="O125" s="52">
        <f t="shared" si="157"/>
        <v>14.11</v>
      </c>
      <c r="P125" s="52"/>
      <c r="Q125" s="52"/>
      <c r="R125" s="52">
        <v>40</v>
      </c>
      <c r="S125" s="52">
        <f t="shared" si="145"/>
        <v>28.22</v>
      </c>
      <c r="T125" s="52">
        <v>30</v>
      </c>
      <c r="U125" s="52">
        <f t="shared" si="146"/>
        <v>29.631</v>
      </c>
      <c r="V125" s="52">
        <v>30</v>
      </c>
      <c r="W125" s="52">
        <f t="shared" si="147"/>
        <v>29.631</v>
      </c>
      <c r="X125" s="106">
        <f t="shared" si="148"/>
        <v>158.03200000000001</v>
      </c>
      <c r="Y125" s="106">
        <f t="shared" si="149"/>
        <v>1.5228426395939085</v>
      </c>
      <c r="Z125" s="106">
        <f t="shared" si="171"/>
        <v>9.4819200000000006</v>
      </c>
      <c r="AA125" s="106">
        <f t="shared" si="151"/>
        <v>11.062240000000001</v>
      </c>
      <c r="AB125" s="106">
        <f t="shared" si="152"/>
        <v>180.09900263959392</v>
      </c>
      <c r="AC125" s="106">
        <f t="shared" si="153"/>
        <v>54.389898797157365</v>
      </c>
      <c r="AD125" s="106">
        <f t="shared" si="158"/>
        <v>17.649702258680204</v>
      </c>
      <c r="AE125" s="106">
        <f t="shared" si="159"/>
        <v>9.1247159687350266</v>
      </c>
      <c r="AF125" s="106" t="s">
        <v>216</v>
      </c>
      <c r="AG125" s="106">
        <v>32.5</v>
      </c>
      <c r="AH125" s="106">
        <v>9</v>
      </c>
      <c r="AI125" s="130">
        <v>12.33</v>
      </c>
      <c r="AJ125" s="130">
        <v>12.96</v>
      </c>
      <c r="AK125" s="130">
        <v>13.68</v>
      </c>
      <c r="AL125" s="106">
        <f t="shared" si="160"/>
        <v>12.772500000000001</v>
      </c>
      <c r="AM125" s="106">
        <f t="shared" si="172"/>
        <v>95.474437500000008</v>
      </c>
      <c r="AN125" s="106"/>
      <c r="AO125" s="106"/>
      <c r="AP125" s="106"/>
      <c r="AQ125" s="106">
        <f t="shared" si="162"/>
        <v>0</v>
      </c>
      <c r="AR125" s="106">
        <f t="shared" si="163"/>
        <v>95.474437500000008</v>
      </c>
      <c r="AS125" s="106"/>
      <c r="AT125" s="106"/>
      <c r="AU125" s="106"/>
      <c r="AV125" s="106">
        <f t="shared" si="173"/>
        <v>0</v>
      </c>
      <c r="AW125" s="106">
        <v>50000</v>
      </c>
      <c r="AX125" s="106">
        <v>23</v>
      </c>
      <c r="AY125" s="106" t="s">
        <v>217</v>
      </c>
      <c r="AZ125" s="106">
        <v>7057</v>
      </c>
      <c r="BA125" s="106">
        <v>4</v>
      </c>
      <c r="BB125" s="106">
        <f t="shared" si="174"/>
        <v>12.984879999999999</v>
      </c>
      <c r="BC125" s="106">
        <v>48.62</v>
      </c>
      <c r="BD125" s="106">
        <v>17.510000000000002</v>
      </c>
      <c r="BE125" s="106">
        <v>236.03</v>
      </c>
      <c r="BF125" s="106">
        <v>5.19</v>
      </c>
      <c r="BG125" s="106"/>
      <c r="BH125" s="149">
        <f t="shared" si="169"/>
        <v>667.94792119543149</v>
      </c>
      <c r="BI125" s="106">
        <f t="shared" si="165"/>
        <v>36.019800527918783</v>
      </c>
      <c r="BJ125" s="149">
        <f t="shared" si="166"/>
        <v>713.09243769208524</v>
      </c>
      <c r="BK125" s="154">
        <f t="shared" si="170"/>
        <v>650.29821893675125</v>
      </c>
      <c r="BL125" s="62"/>
      <c r="BM125" s="62"/>
      <c r="BN125" s="62"/>
      <c r="BO125" s="39"/>
      <c r="BS125" s="48"/>
    </row>
    <row r="126" spans="1:71" ht="94.5">
      <c r="A126" s="40" t="s">
        <v>436</v>
      </c>
      <c r="B126" s="68" t="s">
        <v>382</v>
      </c>
      <c r="C126" s="52" t="s">
        <v>383</v>
      </c>
      <c r="D126" s="52" t="s">
        <v>336</v>
      </c>
      <c r="E126" s="10">
        <v>4</v>
      </c>
      <c r="F126" s="52">
        <v>56.44</v>
      </c>
      <c r="G126" s="52">
        <v>0</v>
      </c>
      <c r="H126" s="54">
        <f t="shared" si="154"/>
        <v>0</v>
      </c>
      <c r="I126" s="52"/>
      <c r="J126" s="52">
        <f t="shared" si="155"/>
        <v>0</v>
      </c>
      <c r="K126" s="52"/>
      <c r="L126" s="52">
        <f t="shared" si="156"/>
        <v>0</v>
      </c>
      <c r="M126" s="52"/>
      <c r="N126" s="52">
        <v>25</v>
      </c>
      <c r="O126" s="52">
        <f t="shared" si="157"/>
        <v>14.11</v>
      </c>
      <c r="P126" s="52"/>
      <c r="Q126" s="52"/>
      <c r="R126" s="52">
        <v>40</v>
      </c>
      <c r="S126" s="52">
        <f t="shared" si="145"/>
        <v>28.22</v>
      </c>
      <c r="T126" s="52">
        <v>30</v>
      </c>
      <c r="U126" s="52">
        <f t="shared" si="146"/>
        <v>29.631</v>
      </c>
      <c r="V126" s="52">
        <v>30</v>
      </c>
      <c r="W126" s="52">
        <f t="shared" si="147"/>
        <v>29.631</v>
      </c>
      <c r="X126" s="106">
        <f t="shared" si="148"/>
        <v>158.03200000000001</v>
      </c>
      <c r="Y126" s="106">
        <f t="shared" si="149"/>
        <v>1.5228426395939085</v>
      </c>
      <c r="Z126" s="106">
        <f>X126*0.06</f>
        <v>9.4819200000000006</v>
      </c>
      <c r="AA126" s="106">
        <f t="shared" si="151"/>
        <v>11.062240000000001</v>
      </c>
      <c r="AB126" s="106">
        <f t="shared" si="152"/>
        <v>180.09900263959392</v>
      </c>
      <c r="AC126" s="106">
        <f t="shared" si="153"/>
        <v>54.389898797157365</v>
      </c>
      <c r="AD126" s="106">
        <f t="shared" si="158"/>
        <v>17.649702258680204</v>
      </c>
      <c r="AE126" s="106">
        <f t="shared" si="159"/>
        <v>9.1247159687350266</v>
      </c>
      <c r="AF126" s="106" t="s">
        <v>101</v>
      </c>
      <c r="AG126" s="106">
        <v>31.43</v>
      </c>
      <c r="AH126" s="106">
        <v>9.1999999999999993</v>
      </c>
      <c r="AI126" s="130">
        <v>11.68</v>
      </c>
      <c r="AJ126" s="130">
        <v>12.33</v>
      </c>
      <c r="AK126" s="130">
        <v>13.06</v>
      </c>
      <c r="AL126" s="106">
        <f t="shared" si="160"/>
        <v>12.133333333333333</v>
      </c>
      <c r="AM126" s="106">
        <f>AG126*AL126/100*23</f>
        <v>87.710653333333326</v>
      </c>
      <c r="AN126" s="106"/>
      <c r="AO126" s="106"/>
      <c r="AP126" s="106"/>
      <c r="AQ126" s="106">
        <f t="shared" si="162"/>
        <v>0</v>
      </c>
      <c r="AR126" s="106">
        <f t="shared" si="163"/>
        <v>87.710653333333326</v>
      </c>
      <c r="AS126" s="106" t="s">
        <v>289</v>
      </c>
      <c r="AT126" s="106">
        <v>456</v>
      </c>
      <c r="AU126" s="106">
        <v>0.72</v>
      </c>
      <c r="AV126" s="106">
        <f>AL126/100*23*AU126/100*AT126</f>
        <v>9.162316800000001</v>
      </c>
      <c r="AW126" s="106">
        <v>33000</v>
      </c>
      <c r="AX126" s="106">
        <v>23</v>
      </c>
      <c r="AY126" s="129" t="s">
        <v>322</v>
      </c>
      <c r="AZ126" s="106">
        <v>1570</v>
      </c>
      <c r="BA126" s="106">
        <v>4</v>
      </c>
      <c r="BB126" s="106">
        <f>AZ126*BA126/AW126*AX126</f>
        <v>4.376969696969697</v>
      </c>
      <c r="BC126" s="106">
        <v>48.62</v>
      </c>
      <c r="BD126" s="106">
        <v>17.510000000000002</v>
      </c>
      <c r="BE126" s="106">
        <v>198.08</v>
      </c>
      <c r="BF126" s="106">
        <v>5.19</v>
      </c>
      <c r="BG126" s="106"/>
      <c r="BH126" s="149">
        <f t="shared" si="169"/>
        <v>622.78854352573455</v>
      </c>
      <c r="BI126" s="106">
        <f t="shared" si="165"/>
        <v>36.019800527918783</v>
      </c>
      <c r="BJ126" s="149">
        <f t="shared" si="166"/>
        <v>667.9330600223883</v>
      </c>
      <c r="BK126" s="154">
        <f t="shared" si="170"/>
        <v>605.13884126705432</v>
      </c>
      <c r="BL126" s="62"/>
      <c r="BM126" s="62"/>
      <c r="BN126" s="62"/>
      <c r="BO126" s="39"/>
      <c r="BS126" s="48"/>
    </row>
    <row r="127" spans="1:71" ht="76.5">
      <c r="A127" s="40" t="s">
        <v>437</v>
      </c>
      <c r="B127" s="63" t="s">
        <v>387</v>
      </c>
      <c r="C127" s="16" t="s">
        <v>388</v>
      </c>
      <c r="D127" s="52" t="s">
        <v>336</v>
      </c>
      <c r="E127" s="10">
        <v>4</v>
      </c>
      <c r="F127" s="52">
        <v>56.44</v>
      </c>
      <c r="G127" s="52">
        <v>0</v>
      </c>
      <c r="H127" s="54">
        <f t="shared" si="154"/>
        <v>0</v>
      </c>
      <c r="I127" s="52"/>
      <c r="J127" s="52">
        <f t="shared" si="155"/>
        <v>0</v>
      </c>
      <c r="K127" s="52">
        <v>40</v>
      </c>
      <c r="L127" s="52">
        <f t="shared" si="156"/>
        <v>22.576000000000001</v>
      </c>
      <c r="M127" s="52">
        <v>1.65</v>
      </c>
      <c r="N127" s="52">
        <v>25</v>
      </c>
      <c r="O127" s="52">
        <f t="shared" si="157"/>
        <v>14.11</v>
      </c>
      <c r="P127" s="52"/>
      <c r="Q127" s="52"/>
      <c r="R127" s="52">
        <v>40</v>
      </c>
      <c r="S127" s="52">
        <f t="shared" si="145"/>
        <v>37.910400000000003</v>
      </c>
      <c r="T127" s="52">
        <v>30</v>
      </c>
      <c r="U127" s="52">
        <f t="shared" si="146"/>
        <v>39.805919999999993</v>
      </c>
      <c r="V127" s="52">
        <v>30</v>
      </c>
      <c r="W127" s="52">
        <f t="shared" si="147"/>
        <v>39.805919999999993</v>
      </c>
      <c r="X127" s="106">
        <f t="shared" si="148"/>
        <v>212.29823999999996</v>
      </c>
      <c r="Y127" s="106">
        <f t="shared" si="149"/>
        <v>1.5228426395939085</v>
      </c>
      <c r="Z127" s="106">
        <f>X127*0.06</f>
        <v>12.737894399999997</v>
      </c>
      <c r="AA127" s="106">
        <f t="shared" si="151"/>
        <v>14.8608768</v>
      </c>
      <c r="AB127" s="106">
        <f t="shared" si="152"/>
        <v>241.41985383959386</v>
      </c>
      <c r="AC127" s="106">
        <f t="shared" si="153"/>
        <v>72.908795859557344</v>
      </c>
      <c r="AD127" s="106">
        <f t="shared" si="158"/>
        <v>23.6591456762802</v>
      </c>
      <c r="AE127" s="106">
        <f t="shared" si="159"/>
        <v>12.231536894783025</v>
      </c>
      <c r="AF127" s="66" t="s">
        <v>97</v>
      </c>
      <c r="AG127" s="129">
        <v>32.83</v>
      </c>
      <c r="AH127" s="132">
        <v>9</v>
      </c>
      <c r="AI127" s="67">
        <v>12.33</v>
      </c>
      <c r="AJ127" s="67">
        <v>12.96</v>
      </c>
      <c r="AK127" s="67">
        <v>13.68</v>
      </c>
      <c r="AL127" s="66">
        <f t="shared" si="160"/>
        <v>12.772500000000001</v>
      </c>
      <c r="AM127" s="66">
        <f>AG127*AL127/100*23</f>
        <v>96.443870249999989</v>
      </c>
      <c r="AN127" s="66"/>
      <c r="AO127" s="66"/>
      <c r="AP127" s="66"/>
      <c r="AQ127" s="66">
        <f t="shared" si="162"/>
        <v>0</v>
      </c>
      <c r="AR127" s="66">
        <f t="shared" si="163"/>
        <v>96.443870249999989</v>
      </c>
      <c r="AS127" s="64" t="s">
        <v>345</v>
      </c>
      <c r="AT127" s="64">
        <v>201.7</v>
      </c>
      <c r="AU127" s="64">
        <v>0.6</v>
      </c>
      <c r="AV127" s="64">
        <f>AL127/100*23*AU127/100*AT127</f>
        <v>3.5551742850000001</v>
      </c>
      <c r="AW127" s="133">
        <v>50000</v>
      </c>
      <c r="AX127" s="133">
        <v>23</v>
      </c>
      <c r="AY127" s="133" t="s">
        <v>346</v>
      </c>
      <c r="AZ127" s="106" t="s">
        <v>347</v>
      </c>
      <c r="BA127" s="64" t="s">
        <v>348</v>
      </c>
      <c r="BB127" s="133">
        <f>AX127/AW127*(3995*2+3060*4)</f>
        <v>9.3057999999999996</v>
      </c>
      <c r="BC127" s="106">
        <v>48.62</v>
      </c>
      <c r="BD127" s="106">
        <v>17.510000000000002</v>
      </c>
      <c r="BE127" s="106">
        <v>236.03</v>
      </c>
      <c r="BF127" s="106">
        <v>5.19</v>
      </c>
      <c r="BG127" s="106"/>
      <c r="BH127" s="150">
        <f>AB127+AC127+AD127+AR127+AV127+BB127+BC127+BD127+BE127+BF127</f>
        <v>754.6426399104314</v>
      </c>
      <c r="BI127" s="106">
        <f t="shared" si="165"/>
        <v>48.283970767918774</v>
      </c>
      <c r="BJ127" s="150">
        <f t="shared" si="166"/>
        <v>815.15814757313319</v>
      </c>
      <c r="BK127" s="155">
        <f t="shared" si="170"/>
        <v>730.98349423415118</v>
      </c>
      <c r="BL127" s="62"/>
      <c r="BM127" s="62"/>
      <c r="BN127" s="62"/>
      <c r="BO127" s="39"/>
      <c r="BS127" s="48"/>
    </row>
    <row r="128" spans="1:71" ht="94.5">
      <c r="A128" s="40" t="s">
        <v>438</v>
      </c>
      <c r="B128" s="68" t="s">
        <v>416</v>
      </c>
      <c r="C128" s="52" t="s">
        <v>417</v>
      </c>
      <c r="D128" s="16" t="s">
        <v>336</v>
      </c>
      <c r="E128" s="72">
        <v>4</v>
      </c>
      <c r="F128" s="52">
        <v>56.44</v>
      </c>
      <c r="G128" s="52">
        <v>0</v>
      </c>
      <c r="H128" s="54">
        <f t="shared" si="154"/>
        <v>0</v>
      </c>
      <c r="I128" s="52"/>
      <c r="J128" s="52">
        <f t="shared" si="155"/>
        <v>0</v>
      </c>
      <c r="K128" s="52"/>
      <c r="L128" s="52">
        <f t="shared" si="156"/>
        <v>0</v>
      </c>
      <c r="M128" s="52"/>
      <c r="N128" s="52">
        <v>25</v>
      </c>
      <c r="O128" s="52">
        <f t="shared" si="157"/>
        <v>14.11</v>
      </c>
      <c r="P128" s="52"/>
      <c r="Q128" s="52"/>
      <c r="R128" s="52">
        <v>40</v>
      </c>
      <c r="S128" s="52">
        <f t="shared" si="145"/>
        <v>28.22</v>
      </c>
      <c r="T128" s="52">
        <v>30</v>
      </c>
      <c r="U128" s="52">
        <f t="shared" si="146"/>
        <v>29.631</v>
      </c>
      <c r="V128" s="52">
        <v>30</v>
      </c>
      <c r="W128" s="52">
        <f t="shared" si="147"/>
        <v>29.631</v>
      </c>
      <c r="X128" s="106">
        <f t="shared" si="148"/>
        <v>158.03200000000001</v>
      </c>
      <c r="Y128" s="106">
        <f t="shared" si="149"/>
        <v>1.5228426395939085</v>
      </c>
      <c r="Z128" s="106">
        <f>X128*0.06</f>
        <v>9.4819200000000006</v>
      </c>
      <c r="AA128" s="106">
        <f t="shared" si="151"/>
        <v>11.062240000000001</v>
      </c>
      <c r="AB128" s="106">
        <f t="shared" si="152"/>
        <v>180.09900263959392</v>
      </c>
      <c r="AC128" s="106">
        <f t="shared" si="153"/>
        <v>54.389898797157365</v>
      </c>
      <c r="AD128" s="106">
        <f t="shared" si="158"/>
        <v>17.649702258680204</v>
      </c>
      <c r="AE128" s="106">
        <f t="shared" si="159"/>
        <v>9.1247159687350266</v>
      </c>
      <c r="AF128" s="106" t="s">
        <v>101</v>
      </c>
      <c r="AG128" s="106">
        <v>31.43</v>
      </c>
      <c r="AH128" s="106">
        <v>9.1999999999999993</v>
      </c>
      <c r="AI128" s="130">
        <v>11</v>
      </c>
      <c r="AJ128" s="130">
        <v>11.77</v>
      </c>
      <c r="AK128" s="130">
        <v>12.65</v>
      </c>
      <c r="AL128" s="106">
        <f t="shared" si="160"/>
        <v>11.540833333333333</v>
      </c>
      <c r="AM128" s="106">
        <f>AG128*AL128/100*23</f>
        <v>83.427530083333323</v>
      </c>
      <c r="AN128" s="106"/>
      <c r="AO128" s="106"/>
      <c r="AP128" s="106"/>
      <c r="AQ128" s="106">
        <f t="shared" si="162"/>
        <v>0</v>
      </c>
      <c r="AR128" s="106">
        <f t="shared" si="163"/>
        <v>83.427530083333323</v>
      </c>
      <c r="AS128" s="106" t="s">
        <v>289</v>
      </c>
      <c r="AT128" s="106">
        <v>456</v>
      </c>
      <c r="AU128" s="106">
        <v>0.72</v>
      </c>
      <c r="AV128" s="106">
        <f>AL128/100*23*AU128/100*AT128</f>
        <v>8.714898719999999</v>
      </c>
      <c r="AW128" s="106">
        <v>33000</v>
      </c>
      <c r="AX128" s="106">
        <v>23</v>
      </c>
      <c r="AY128" s="129" t="s">
        <v>322</v>
      </c>
      <c r="AZ128" s="106">
        <v>1570</v>
      </c>
      <c r="BA128" s="106">
        <v>4</v>
      </c>
      <c r="BB128" s="106">
        <f>AZ128*BA128/AW128*AX128</f>
        <v>4.376969696969697</v>
      </c>
      <c r="BC128" s="106">
        <v>48.62</v>
      </c>
      <c r="BD128" s="106">
        <v>17.510000000000002</v>
      </c>
      <c r="BE128" s="106">
        <v>198.08</v>
      </c>
      <c r="BF128" s="106">
        <v>5.19</v>
      </c>
      <c r="BG128" s="66"/>
      <c r="BH128" s="150">
        <f>AB128+AC128+AD128+AR128+AV128+BB128+BC128+BD128+BE128+BF128</f>
        <v>618.05800219573462</v>
      </c>
      <c r="BI128" s="106">
        <f t="shared" si="165"/>
        <v>36.019800527918783</v>
      </c>
      <c r="BJ128" s="150">
        <f t="shared" si="166"/>
        <v>663.20251869238837</v>
      </c>
      <c r="BK128" s="155"/>
      <c r="BL128" s="62"/>
      <c r="BM128" s="62"/>
      <c r="BN128" s="62"/>
      <c r="BO128" s="39"/>
      <c r="BS128" s="48"/>
    </row>
    <row r="129" spans="1:71" ht="84" customHeight="1">
      <c r="A129" s="40" t="s">
        <v>439</v>
      </c>
      <c r="B129" s="63" t="s">
        <v>314</v>
      </c>
      <c r="C129" s="16" t="s">
        <v>315</v>
      </c>
      <c r="D129" s="52" t="s">
        <v>336</v>
      </c>
      <c r="E129" s="16">
        <v>4</v>
      </c>
      <c r="F129" s="52">
        <v>56.44</v>
      </c>
      <c r="G129" s="10">
        <v>0</v>
      </c>
      <c r="H129" s="65">
        <f t="shared" si="154"/>
        <v>0</v>
      </c>
      <c r="I129" s="10"/>
      <c r="J129" s="10">
        <f t="shared" si="155"/>
        <v>0</v>
      </c>
      <c r="K129" s="10"/>
      <c r="L129" s="10">
        <f t="shared" si="156"/>
        <v>0</v>
      </c>
      <c r="M129" s="10"/>
      <c r="N129" s="10">
        <v>25</v>
      </c>
      <c r="O129" s="10">
        <f t="shared" si="157"/>
        <v>14.11</v>
      </c>
      <c r="P129" s="10"/>
      <c r="Q129" s="10"/>
      <c r="R129" s="10">
        <v>40</v>
      </c>
      <c r="S129" s="10">
        <f t="shared" si="145"/>
        <v>28.22</v>
      </c>
      <c r="T129" s="10">
        <v>30</v>
      </c>
      <c r="U129" s="10">
        <f t="shared" si="146"/>
        <v>29.631</v>
      </c>
      <c r="V129" s="10">
        <v>30</v>
      </c>
      <c r="W129" s="10">
        <f t="shared" si="147"/>
        <v>29.631</v>
      </c>
      <c r="X129" s="66">
        <f t="shared" si="148"/>
        <v>158.03200000000001</v>
      </c>
      <c r="Y129" s="66">
        <f t="shared" si="149"/>
        <v>1.5228426395939085</v>
      </c>
      <c r="Z129" s="66">
        <f>X129*0.06</f>
        <v>9.4819200000000006</v>
      </c>
      <c r="AA129" s="66">
        <f t="shared" si="151"/>
        <v>11.062240000000001</v>
      </c>
      <c r="AB129" s="66">
        <f t="shared" si="152"/>
        <v>180.09900263959392</v>
      </c>
      <c r="AC129" s="106">
        <f t="shared" si="153"/>
        <v>54.389898797157365</v>
      </c>
      <c r="AD129" s="106">
        <f t="shared" si="158"/>
        <v>17.649702258680204</v>
      </c>
      <c r="AE129" s="106">
        <f t="shared" si="159"/>
        <v>9.1247159687350266</v>
      </c>
      <c r="AF129" s="66" t="s">
        <v>97</v>
      </c>
      <c r="AG129" s="129">
        <v>32.83</v>
      </c>
      <c r="AH129" s="132">
        <v>9.6999999999999993</v>
      </c>
      <c r="AI129" s="67">
        <v>10.8</v>
      </c>
      <c r="AJ129" s="67">
        <v>11.56</v>
      </c>
      <c r="AK129" s="67">
        <v>12.42</v>
      </c>
      <c r="AL129" s="66">
        <f t="shared" si="160"/>
        <v>11.331666666666669</v>
      </c>
      <c r="AM129" s="66">
        <f>AG129*AL129/100*23</f>
        <v>85.564281833333339</v>
      </c>
      <c r="AN129" s="66"/>
      <c r="AO129" s="66"/>
      <c r="AP129" s="66"/>
      <c r="AQ129" s="66">
        <f t="shared" si="162"/>
        <v>0</v>
      </c>
      <c r="AR129" s="66">
        <f t="shared" si="163"/>
        <v>85.564281833333339</v>
      </c>
      <c r="AS129" s="64" t="s">
        <v>191</v>
      </c>
      <c r="AT129" s="64">
        <v>209.04</v>
      </c>
      <c r="AU129" s="64">
        <v>0.72</v>
      </c>
      <c r="AV129" s="64">
        <f>AL129/100*23*AU129/100*AT129</f>
        <v>3.9226857696000001</v>
      </c>
      <c r="AW129" s="133">
        <v>50000</v>
      </c>
      <c r="AX129" s="133">
        <v>23</v>
      </c>
      <c r="AY129" s="133" t="s">
        <v>207</v>
      </c>
      <c r="AZ129" s="106">
        <v>6424.57</v>
      </c>
      <c r="BA129" s="64">
        <v>4</v>
      </c>
      <c r="BB129" s="133">
        <f>AZ129*BA129/AW129*AX129</f>
        <v>11.821208800000001</v>
      </c>
      <c r="BC129" s="106">
        <v>48.62</v>
      </c>
      <c r="BD129" s="106">
        <v>17.510000000000002</v>
      </c>
      <c r="BE129" s="66">
        <v>142.82</v>
      </c>
      <c r="BF129" s="106">
        <v>5.19</v>
      </c>
      <c r="BG129" s="106"/>
      <c r="BH129" s="150">
        <f>AB129+AC129+AD129+AR129+AV129+BB129+BC129+BD129+BE129+BF129</f>
        <v>567.5867800983649</v>
      </c>
      <c r="BI129" s="106">
        <f t="shared" si="165"/>
        <v>36.019800527918783</v>
      </c>
      <c r="BJ129" s="150">
        <f t="shared" si="166"/>
        <v>612.73129659501865</v>
      </c>
      <c r="BK129" s="155">
        <f>BH129-AD129</f>
        <v>549.93707783968466</v>
      </c>
      <c r="BL129" s="62"/>
      <c r="BM129" s="62"/>
      <c r="BN129" s="62"/>
      <c r="BO129" s="39"/>
      <c r="BS129" s="48"/>
    </row>
    <row r="130" spans="1:71" ht="78" customHeight="1">
      <c r="A130" s="40" t="s">
        <v>440</v>
      </c>
      <c r="B130" s="63" t="s">
        <v>349</v>
      </c>
      <c r="C130" s="16" t="s">
        <v>350</v>
      </c>
      <c r="D130" s="52" t="s">
        <v>336</v>
      </c>
      <c r="E130" s="52">
        <v>4</v>
      </c>
      <c r="F130" s="52">
        <v>56.44</v>
      </c>
      <c r="G130" s="10">
        <v>0</v>
      </c>
      <c r="H130" s="65">
        <f t="shared" si="154"/>
        <v>0</v>
      </c>
      <c r="I130" s="10"/>
      <c r="J130" s="10">
        <f t="shared" si="155"/>
        <v>0</v>
      </c>
      <c r="K130" s="10"/>
      <c r="L130" s="10">
        <f t="shared" si="156"/>
        <v>0</v>
      </c>
      <c r="M130" s="10"/>
      <c r="N130" s="10">
        <v>25</v>
      </c>
      <c r="O130" s="10">
        <f t="shared" si="157"/>
        <v>14.11</v>
      </c>
      <c r="P130" s="10"/>
      <c r="Q130" s="10"/>
      <c r="R130" s="10">
        <v>40</v>
      </c>
      <c r="S130" s="10">
        <f t="shared" si="145"/>
        <v>28.22</v>
      </c>
      <c r="T130" s="10">
        <v>30</v>
      </c>
      <c r="U130" s="10">
        <f t="shared" si="146"/>
        <v>29.631</v>
      </c>
      <c r="V130" s="10">
        <v>30</v>
      </c>
      <c r="W130" s="10">
        <f t="shared" si="147"/>
        <v>29.631</v>
      </c>
      <c r="X130" s="66">
        <f t="shared" si="148"/>
        <v>158.03200000000001</v>
      </c>
      <c r="Y130" s="66">
        <f t="shared" ref="Y130:Y135" si="175">3000/1970</f>
        <v>1.5228426395939085</v>
      </c>
      <c r="Z130" s="66">
        <f t="shared" ref="Z130:Z135" si="176">X130*0.06</f>
        <v>9.4819200000000006</v>
      </c>
      <c r="AA130" s="66">
        <f t="shared" si="151"/>
        <v>11.062240000000001</v>
      </c>
      <c r="AB130" s="66">
        <f t="shared" si="152"/>
        <v>180.09900263959392</v>
      </c>
      <c r="AC130" s="106">
        <f t="shared" si="153"/>
        <v>54.389898797157365</v>
      </c>
      <c r="AD130" s="106">
        <f t="shared" si="158"/>
        <v>17.649702258680204</v>
      </c>
      <c r="AE130" s="106">
        <f t="shared" si="159"/>
        <v>9.1247159687350266</v>
      </c>
      <c r="AF130" s="66" t="s">
        <v>97</v>
      </c>
      <c r="AG130" s="129">
        <v>32.83</v>
      </c>
      <c r="AH130" s="132">
        <v>10.199999999999999</v>
      </c>
      <c r="AI130" s="67">
        <v>13.973999999999998</v>
      </c>
      <c r="AJ130" s="67">
        <v>14.687999999999999</v>
      </c>
      <c r="AK130" s="67">
        <v>15.503999999999998</v>
      </c>
      <c r="AL130" s="66">
        <f t="shared" si="160"/>
        <v>14.475499999999998</v>
      </c>
      <c r="AM130" s="66">
        <f t="shared" ref="AM130:AM135" si="177">AG130*AL130/100*23</f>
        <v>109.30305294999999</v>
      </c>
      <c r="AN130" s="66"/>
      <c r="AO130" s="66"/>
      <c r="AP130" s="66"/>
      <c r="AQ130" s="66">
        <f t="shared" ref="AQ130:AQ135" si="178">AG130*AO130*AP130</f>
        <v>0</v>
      </c>
      <c r="AR130" s="66">
        <f t="shared" si="163"/>
        <v>109.30305294999999</v>
      </c>
      <c r="AS130" s="64" t="s">
        <v>191</v>
      </c>
      <c r="AT130" s="64">
        <v>209.04</v>
      </c>
      <c r="AU130" s="64">
        <v>0.72</v>
      </c>
      <c r="AV130" s="64">
        <f t="shared" ref="AV130:AV135" si="179">AL130/100*23*AU130/100*AT130</f>
        <v>5.010987309119999</v>
      </c>
      <c r="AW130" s="133">
        <v>50000</v>
      </c>
      <c r="AX130" s="133">
        <v>23</v>
      </c>
      <c r="AY130" s="133" t="s">
        <v>207</v>
      </c>
      <c r="AZ130" s="106">
        <v>6424.57</v>
      </c>
      <c r="BA130" s="64">
        <v>4</v>
      </c>
      <c r="BB130" s="133">
        <f t="shared" ref="BB130:BB135" si="180">AZ130*BA130/AW130*AX130</f>
        <v>11.821208800000001</v>
      </c>
      <c r="BC130" s="106">
        <v>48.62</v>
      </c>
      <c r="BD130" s="106">
        <v>17.510000000000002</v>
      </c>
      <c r="BE130" s="66">
        <v>142.82</v>
      </c>
      <c r="BF130" s="106">
        <v>5.19</v>
      </c>
      <c r="BG130" s="106"/>
      <c r="BH130" s="149">
        <f t="shared" ref="BH130:BH135" si="181">AB130+AC130+AD130+AR130+AV130+BB130+BC130+BD130+BE130+BF130+BG130</f>
        <v>592.41385275455161</v>
      </c>
      <c r="BI130" s="106">
        <f t="shared" si="165"/>
        <v>36.019800527918783</v>
      </c>
      <c r="BJ130" s="149">
        <f t="shared" ref="BJ130:BJ135" si="182">BH130+AE130+BI130</f>
        <v>637.55836925120536</v>
      </c>
      <c r="BK130" s="154">
        <f t="shared" ref="BK130:BK135" si="183">BH130-AD130</f>
        <v>574.76415049587138</v>
      </c>
      <c r="BL130" s="62"/>
      <c r="BM130" s="62"/>
      <c r="BN130" s="62"/>
      <c r="BO130" s="39"/>
      <c r="BS130" s="48"/>
    </row>
    <row r="131" spans="1:71" ht="78" customHeight="1">
      <c r="A131" s="40" t="s">
        <v>441</v>
      </c>
      <c r="B131" s="63" t="s">
        <v>349</v>
      </c>
      <c r="C131" s="16" t="s">
        <v>351</v>
      </c>
      <c r="D131" s="52" t="s">
        <v>336</v>
      </c>
      <c r="E131" s="52">
        <v>4</v>
      </c>
      <c r="F131" s="52">
        <v>56.44</v>
      </c>
      <c r="G131" s="10">
        <v>0</v>
      </c>
      <c r="H131" s="65">
        <f t="shared" si="154"/>
        <v>0</v>
      </c>
      <c r="I131" s="10"/>
      <c r="J131" s="10">
        <f t="shared" si="155"/>
        <v>0</v>
      </c>
      <c r="K131" s="10"/>
      <c r="L131" s="10">
        <f t="shared" si="156"/>
        <v>0</v>
      </c>
      <c r="M131" s="10"/>
      <c r="N131" s="10">
        <v>25</v>
      </c>
      <c r="O131" s="10">
        <f t="shared" si="157"/>
        <v>14.11</v>
      </c>
      <c r="P131" s="10"/>
      <c r="Q131" s="10"/>
      <c r="R131" s="10">
        <v>40</v>
      </c>
      <c r="S131" s="10">
        <f t="shared" si="145"/>
        <v>28.22</v>
      </c>
      <c r="T131" s="10">
        <v>30</v>
      </c>
      <c r="U131" s="10">
        <f t="shared" si="146"/>
        <v>29.631</v>
      </c>
      <c r="V131" s="10">
        <v>30</v>
      </c>
      <c r="W131" s="10">
        <f t="shared" si="147"/>
        <v>29.631</v>
      </c>
      <c r="X131" s="66">
        <f t="shared" si="148"/>
        <v>158.03200000000001</v>
      </c>
      <c r="Y131" s="66">
        <f t="shared" si="175"/>
        <v>1.5228426395939085</v>
      </c>
      <c r="Z131" s="66">
        <f t="shared" si="176"/>
        <v>9.4819200000000006</v>
      </c>
      <c r="AA131" s="66">
        <f t="shared" si="151"/>
        <v>11.062240000000001</v>
      </c>
      <c r="AB131" s="66">
        <f t="shared" si="152"/>
        <v>180.09900263959392</v>
      </c>
      <c r="AC131" s="106">
        <f t="shared" si="153"/>
        <v>54.389898797157365</v>
      </c>
      <c r="AD131" s="106">
        <f t="shared" si="158"/>
        <v>17.649702258680204</v>
      </c>
      <c r="AE131" s="106">
        <f t="shared" si="159"/>
        <v>9.1247159687350266</v>
      </c>
      <c r="AF131" s="66" t="s">
        <v>97</v>
      </c>
      <c r="AG131" s="129">
        <v>32.83</v>
      </c>
      <c r="AH131" s="132">
        <v>10.199999999999999</v>
      </c>
      <c r="AI131" s="67">
        <v>13.973999999999998</v>
      </c>
      <c r="AJ131" s="67">
        <v>14.687999999999999</v>
      </c>
      <c r="AK131" s="67">
        <v>15.503999999999998</v>
      </c>
      <c r="AL131" s="66">
        <f t="shared" si="160"/>
        <v>14.475499999999998</v>
      </c>
      <c r="AM131" s="66">
        <f t="shared" si="177"/>
        <v>109.30305294999999</v>
      </c>
      <c r="AN131" s="66"/>
      <c r="AO131" s="66"/>
      <c r="AP131" s="66"/>
      <c r="AQ131" s="66">
        <f t="shared" si="178"/>
        <v>0</v>
      </c>
      <c r="AR131" s="66">
        <f t="shared" si="163"/>
        <v>109.30305294999999</v>
      </c>
      <c r="AS131" s="64" t="s">
        <v>191</v>
      </c>
      <c r="AT131" s="64">
        <v>209.04</v>
      </c>
      <c r="AU131" s="64">
        <v>0.72</v>
      </c>
      <c r="AV131" s="64">
        <f t="shared" si="179"/>
        <v>5.010987309119999</v>
      </c>
      <c r="AW131" s="133">
        <v>50000</v>
      </c>
      <c r="AX131" s="133">
        <v>23</v>
      </c>
      <c r="AY131" s="133" t="s">
        <v>207</v>
      </c>
      <c r="AZ131" s="106">
        <v>6424.57</v>
      </c>
      <c r="BA131" s="64">
        <v>4</v>
      </c>
      <c r="BB131" s="133">
        <f t="shared" si="180"/>
        <v>11.821208800000001</v>
      </c>
      <c r="BC131" s="106">
        <v>48.62</v>
      </c>
      <c r="BD131" s="106">
        <v>17.510000000000002</v>
      </c>
      <c r="BE131" s="66">
        <v>142.82</v>
      </c>
      <c r="BF131" s="106">
        <v>5.19</v>
      </c>
      <c r="BG131" s="106"/>
      <c r="BH131" s="149">
        <f t="shared" si="181"/>
        <v>592.41385275455161</v>
      </c>
      <c r="BI131" s="106">
        <f t="shared" si="165"/>
        <v>36.019800527918783</v>
      </c>
      <c r="BJ131" s="149">
        <f t="shared" si="182"/>
        <v>637.55836925120536</v>
      </c>
      <c r="BK131" s="154">
        <f t="shared" si="183"/>
        <v>574.76415049587138</v>
      </c>
      <c r="BL131" s="62"/>
      <c r="BM131" s="62"/>
      <c r="BN131" s="62"/>
      <c r="BO131" s="39"/>
      <c r="BS131" s="48"/>
    </row>
    <row r="132" spans="1:71" ht="78" customHeight="1">
      <c r="A132" s="40" t="s">
        <v>442</v>
      </c>
      <c r="B132" s="63" t="s">
        <v>349</v>
      </c>
      <c r="C132" s="16" t="s">
        <v>352</v>
      </c>
      <c r="D132" s="52" t="s">
        <v>336</v>
      </c>
      <c r="E132" s="52">
        <v>4</v>
      </c>
      <c r="F132" s="52">
        <v>56.44</v>
      </c>
      <c r="G132" s="10">
        <v>0</v>
      </c>
      <c r="H132" s="65">
        <f t="shared" si="154"/>
        <v>0</v>
      </c>
      <c r="I132" s="10"/>
      <c r="J132" s="10">
        <f t="shared" si="155"/>
        <v>0</v>
      </c>
      <c r="K132" s="10"/>
      <c r="L132" s="10">
        <f t="shared" si="156"/>
        <v>0</v>
      </c>
      <c r="M132" s="10"/>
      <c r="N132" s="10">
        <v>25</v>
      </c>
      <c r="O132" s="10">
        <f t="shared" si="157"/>
        <v>14.11</v>
      </c>
      <c r="P132" s="10"/>
      <c r="Q132" s="10"/>
      <c r="R132" s="10">
        <v>40</v>
      </c>
      <c r="S132" s="10">
        <f t="shared" si="145"/>
        <v>28.22</v>
      </c>
      <c r="T132" s="10">
        <v>30</v>
      </c>
      <c r="U132" s="10">
        <f t="shared" si="146"/>
        <v>29.631</v>
      </c>
      <c r="V132" s="10">
        <v>30</v>
      </c>
      <c r="W132" s="10">
        <f t="shared" si="147"/>
        <v>29.631</v>
      </c>
      <c r="X132" s="66">
        <f t="shared" si="148"/>
        <v>158.03200000000001</v>
      </c>
      <c r="Y132" s="66">
        <f t="shared" si="175"/>
        <v>1.5228426395939085</v>
      </c>
      <c r="Z132" s="66">
        <f t="shared" si="176"/>
        <v>9.4819200000000006</v>
      </c>
      <c r="AA132" s="66">
        <f t="shared" si="151"/>
        <v>11.062240000000001</v>
      </c>
      <c r="AB132" s="66">
        <f t="shared" si="152"/>
        <v>180.09900263959392</v>
      </c>
      <c r="AC132" s="106">
        <f t="shared" si="153"/>
        <v>54.389898797157365</v>
      </c>
      <c r="AD132" s="106">
        <f t="shared" si="158"/>
        <v>17.649702258680204</v>
      </c>
      <c r="AE132" s="106">
        <f t="shared" si="159"/>
        <v>9.1247159687350266</v>
      </c>
      <c r="AF132" s="66" t="s">
        <v>97</v>
      </c>
      <c r="AG132" s="129">
        <v>32.83</v>
      </c>
      <c r="AH132" s="132">
        <v>10.199999999999999</v>
      </c>
      <c r="AI132" s="67">
        <v>13.973999999999998</v>
      </c>
      <c r="AJ132" s="67">
        <v>14.687999999999999</v>
      </c>
      <c r="AK132" s="67">
        <v>15.503999999999998</v>
      </c>
      <c r="AL132" s="66">
        <f t="shared" si="160"/>
        <v>14.475499999999998</v>
      </c>
      <c r="AM132" s="66">
        <f t="shared" si="177"/>
        <v>109.30305294999999</v>
      </c>
      <c r="AN132" s="66"/>
      <c r="AO132" s="66"/>
      <c r="AP132" s="66"/>
      <c r="AQ132" s="66">
        <f t="shared" si="178"/>
        <v>0</v>
      </c>
      <c r="AR132" s="66">
        <f t="shared" si="163"/>
        <v>109.30305294999999</v>
      </c>
      <c r="AS132" s="64" t="s">
        <v>191</v>
      </c>
      <c r="AT132" s="64">
        <v>209.04</v>
      </c>
      <c r="AU132" s="64">
        <v>0.72</v>
      </c>
      <c r="AV132" s="64">
        <f t="shared" si="179"/>
        <v>5.010987309119999</v>
      </c>
      <c r="AW132" s="133">
        <v>50000</v>
      </c>
      <c r="AX132" s="133">
        <v>23</v>
      </c>
      <c r="AY132" s="133" t="s">
        <v>207</v>
      </c>
      <c r="AZ132" s="106">
        <v>6424.57</v>
      </c>
      <c r="BA132" s="64">
        <v>4</v>
      </c>
      <c r="BB132" s="133">
        <f t="shared" si="180"/>
        <v>11.821208800000001</v>
      </c>
      <c r="BC132" s="106">
        <v>48.62</v>
      </c>
      <c r="BD132" s="106">
        <v>17.510000000000002</v>
      </c>
      <c r="BE132" s="66">
        <v>142.82</v>
      </c>
      <c r="BF132" s="106">
        <v>5.19</v>
      </c>
      <c r="BG132" s="106"/>
      <c r="BH132" s="149">
        <f t="shared" si="181"/>
        <v>592.41385275455161</v>
      </c>
      <c r="BI132" s="106">
        <f t="shared" si="165"/>
        <v>36.019800527918783</v>
      </c>
      <c r="BJ132" s="149">
        <f t="shared" si="182"/>
        <v>637.55836925120536</v>
      </c>
      <c r="BK132" s="154">
        <f t="shared" si="183"/>
        <v>574.76415049587138</v>
      </c>
      <c r="BL132" s="62"/>
      <c r="BM132" s="62"/>
      <c r="BN132" s="62"/>
      <c r="BO132" s="39"/>
      <c r="BS132" s="48"/>
    </row>
    <row r="133" spans="1:71" ht="78" customHeight="1">
      <c r="A133" s="41" t="s">
        <v>443</v>
      </c>
      <c r="B133" s="63" t="s">
        <v>349</v>
      </c>
      <c r="C133" s="16" t="s">
        <v>353</v>
      </c>
      <c r="D133" s="52" t="s">
        <v>336</v>
      </c>
      <c r="E133" s="52">
        <v>4</v>
      </c>
      <c r="F133" s="52">
        <v>56.44</v>
      </c>
      <c r="G133" s="10">
        <v>0</v>
      </c>
      <c r="H133" s="65">
        <f t="shared" si="154"/>
        <v>0</v>
      </c>
      <c r="I133" s="10"/>
      <c r="J133" s="10">
        <f t="shared" si="155"/>
        <v>0</v>
      </c>
      <c r="K133" s="10"/>
      <c r="L133" s="10">
        <f t="shared" si="156"/>
        <v>0</v>
      </c>
      <c r="M133" s="10"/>
      <c r="N133" s="10">
        <v>25</v>
      </c>
      <c r="O133" s="10">
        <f t="shared" si="157"/>
        <v>14.11</v>
      </c>
      <c r="P133" s="10"/>
      <c r="Q133" s="10"/>
      <c r="R133" s="10">
        <v>40</v>
      </c>
      <c r="S133" s="10">
        <f t="shared" si="145"/>
        <v>28.22</v>
      </c>
      <c r="T133" s="10">
        <v>30</v>
      </c>
      <c r="U133" s="10">
        <f t="shared" si="146"/>
        <v>29.631</v>
      </c>
      <c r="V133" s="10">
        <v>30</v>
      </c>
      <c r="W133" s="10">
        <f t="shared" si="147"/>
        <v>29.631</v>
      </c>
      <c r="X133" s="66">
        <f t="shared" si="148"/>
        <v>158.03200000000001</v>
      </c>
      <c r="Y133" s="66">
        <f t="shared" si="175"/>
        <v>1.5228426395939085</v>
      </c>
      <c r="Z133" s="66">
        <f t="shared" si="176"/>
        <v>9.4819200000000006</v>
      </c>
      <c r="AA133" s="66">
        <f t="shared" si="151"/>
        <v>11.062240000000001</v>
      </c>
      <c r="AB133" s="66">
        <f t="shared" si="152"/>
        <v>180.09900263959392</v>
      </c>
      <c r="AC133" s="106">
        <f t="shared" si="153"/>
        <v>54.389898797157365</v>
      </c>
      <c r="AD133" s="106">
        <f t="shared" si="158"/>
        <v>17.649702258680204</v>
      </c>
      <c r="AE133" s="106">
        <f t="shared" si="159"/>
        <v>9.1247159687350266</v>
      </c>
      <c r="AF133" s="66" t="s">
        <v>97</v>
      </c>
      <c r="AG133" s="129">
        <v>32.83</v>
      </c>
      <c r="AH133" s="132">
        <v>10.199999999999999</v>
      </c>
      <c r="AI133" s="67">
        <v>13.973999999999998</v>
      </c>
      <c r="AJ133" s="67">
        <v>14.687999999999999</v>
      </c>
      <c r="AK133" s="67">
        <v>15.503999999999998</v>
      </c>
      <c r="AL133" s="66">
        <f t="shared" si="160"/>
        <v>14.475499999999998</v>
      </c>
      <c r="AM133" s="66">
        <f t="shared" si="177"/>
        <v>109.30305294999999</v>
      </c>
      <c r="AN133" s="66"/>
      <c r="AO133" s="66"/>
      <c r="AP133" s="66"/>
      <c r="AQ133" s="66">
        <f t="shared" si="178"/>
        <v>0</v>
      </c>
      <c r="AR133" s="66">
        <f t="shared" si="163"/>
        <v>109.30305294999999</v>
      </c>
      <c r="AS133" s="64" t="s">
        <v>191</v>
      </c>
      <c r="AT133" s="64">
        <v>209.04</v>
      </c>
      <c r="AU133" s="64">
        <v>0.72</v>
      </c>
      <c r="AV133" s="64">
        <f t="shared" si="179"/>
        <v>5.010987309119999</v>
      </c>
      <c r="AW133" s="133">
        <v>50000</v>
      </c>
      <c r="AX133" s="133">
        <v>23</v>
      </c>
      <c r="AY133" s="133" t="s">
        <v>207</v>
      </c>
      <c r="AZ133" s="106">
        <v>6424.57</v>
      </c>
      <c r="BA133" s="64">
        <v>4</v>
      </c>
      <c r="BB133" s="133">
        <f t="shared" si="180"/>
        <v>11.821208800000001</v>
      </c>
      <c r="BC133" s="106">
        <v>48.62</v>
      </c>
      <c r="BD133" s="106">
        <v>17.510000000000002</v>
      </c>
      <c r="BE133" s="66">
        <v>142.82</v>
      </c>
      <c r="BF133" s="106">
        <v>5.19</v>
      </c>
      <c r="BG133" s="106"/>
      <c r="BH133" s="149">
        <f t="shared" si="181"/>
        <v>592.41385275455161</v>
      </c>
      <c r="BI133" s="106">
        <f t="shared" si="165"/>
        <v>36.019800527918783</v>
      </c>
      <c r="BJ133" s="149">
        <f t="shared" si="182"/>
        <v>637.55836925120536</v>
      </c>
      <c r="BK133" s="154">
        <f t="shared" si="183"/>
        <v>574.76415049587138</v>
      </c>
      <c r="BL133" s="62"/>
      <c r="BM133" s="62"/>
      <c r="BN133" s="62"/>
      <c r="BO133" s="39"/>
      <c r="BS133" s="48"/>
    </row>
    <row r="134" spans="1:71" ht="78" customHeight="1">
      <c r="A134" s="40" t="s">
        <v>444</v>
      </c>
      <c r="B134" s="63" t="s">
        <v>349</v>
      </c>
      <c r="C134" s="16" t="s">
        <v>354</v>
      </c>
      <c r="D134" s="52" t="s">
        <v>336</v>
      </c>
      <c r="E134" s="52">
        <v>4</v>
      </c>
      <c r="F134" s="52">
        <v>56.44</v>
      </c>
      <c r="G134" s="10">
        <v>0</v>
      </c>
      <c r="H134" s="65">
        <f t="shared" si="154"/>
        <v>0</v>
      </c>
      <c r="I134" s="10"/>
      <c r="J134" s="10">
        <f t="shared" si="155"/>
        <v>0</v>
      </c>
      <c r="K134" s="10"/>
      <c r="L134" s="10">
        <f t="shared" si="156"/>
        <v>0</v>
      </c>
      <c r="M134" s="10"/>
      <c r="N134" s="10">
        <v>25</v>
      </c>
      <c r="O134" s="10">
        <f t="shared" si="157"/>
        <v>14.11</v>
      </c>
      <c r="P134" s="10"/>
      <c r="Q134" s="10"/>
      <c r="R134" s="10">
        <v>40</v>
      </c>
      <c r="S134" s="10">
        <f t="shared" si="145"/>
        <v>28.22</v>
      </c>
      <c r="T134" s="10">
        <v>30</v>
      </c>
      <c r="U134" s="10">
        <f t="shared" si="146"/>
        <v>29.631</v>
      </c>
      <c r="V134" s="10">
        <v>30</v>
      </c>
      <c r="W134" s="10">
        <f t="shared" si="147"/>
        <v>29.631</v>
      </c>
      <c r="X134" s="66">
        <f t="shared" si="148"/>
        <v>158.03200000000001</v>
      </c>
      <c r="Y134" s="66">
        <f t="shared" si="175"/>
        <v>1.5228426395939085</v>
      </c>
      <c r="Z134" s="66">
        <f t="shared" si="176"/>
        <v>9.4819200000000006</v>
      </c>
      <c r="AA134" s="66">
        <f t="shared" si="151"/>
        <v>11.062240000000001</v>
      </c>
      <c r="AB134" s="66">
        <f t="shared" si="152"/>
        <v>180.09900263959392</v>
      </c>
      <c r="AC134" s="106">
        <f t="shared" si="153"/>
        <v>54.389898797157365</v>
      </c>
      <c r="AD134" s="106">
        <f t="shared" si="158"/>
        <v>17.649702258680204</v>
      </c>
      <c r="AE134" s="106">
        <f t="shared" si="159"/>
        <v>9.1247159687350266</v>
      </c>
      <c r="AF134" s="66" t="s">
        <v>97</v>
      </c>
      <c r="AG134" s="129">
        <v>32.83</v>
      </c>
      <c r="AH134" s="132">
        <v>10.199999999999999</v>
      </c>
      <c r="AI134" s="67">
        <v>13.973999999999998</v>
      </c>
      <c r="AJ134" s="67">
        <v>14.687999999999999</v>
      </c>
      <c r="AK134" s="67">
        <v>15.503999999999998</v>
      </c>
      <c r="AL134" s="66">
        <f t="shared" si="160"/>
        <v>14.475499999999998</v>
      </c>
      <c r="AM134" s="66">
        <f t="shared" si="177"/>
        <v>109.30305294999999</v>
      </c>
      <c r="AN134" s="66"/>
      <c r="AO134" s="66"/>
      <c r="AP134" s="66"/>
      <c r="AQ134" s="66">
        <f t="shared" si="178"/>
        <v>0</v>
      </c>
      <c r="AR134" s="66">
        <f t="shared" si="163"/>
        <v>109.30305294999999</v>
      </c>
      <c r="AS134" s="64" t="s">
        <v>191</v>
      </c>
      <c r="AT134" s="64">
        <v>209.04</v>
      </c>
      <c r="AU134" s="64">
        <v>0.72</v>
      </c>
      <c r="AV134" s="64">
        <f t="shared" si="179"/>
        <v>5.010987309119999</v>
      </c>
      <c r="AW134" s="133">
        <v>50000</v>
      </c>
      <c r="AX134" s="133">
        <v>23</v>
      </c>
      <c r="AY134" s="133" t="s">
        <v>207</v>
      </c>
      <c r="AZ134" s="106">
        <v>6424.57</v>
      </c>
      <c r="BA134" s="64">
        <v>4</v>
      </c>
      <c r="BB134" s="133">
        <f t="shared" si="180"/>
        <v>11.821208800000001</v>
      </c>
      <c r="BC134" s="106">
        <v>48.62</v>
      </c>
      <c r="BD134" s="106">
        <v>17.510000000000002</v>
      </c>
      <c r="BE134" s="66">
        <v>142.82</v>
      </c>
      <c r="BF134" s="106">
        <v>5.19</v>
      </c>
      <c r="BG134" s="106"/>
      <c r="BH134" s="149">
        <f t="shared" si="181"/>
        <v>592.41385275455161</v>
      </c>
      <c r="BI134" s="106">
        <f t="shared" si="165"/>
        <v>36.019800527918783</v>
      </c>
      <c r="BJ134" s="149">
        <f t="shared" si="182"/>
        <v>637.55836925120536</v>
      </c>
      <c r="BK134" s="154">
        <f t="shared" si="183"/>
        <v>574.76415049587138</v>
      </c>
      <c r="BL134" s="62"/>
      <c r="BM134" s="62"/>
      <c r="BN134" s="62"/>
      <c r="BO134" s="39"/>
      <c r="BS134" s="48"/>
    </row>
    <row r="135" spans="1:71" ht="78" customHeight="1">
      <c r="A135" s="40" t="s">
        <v>445</v>
      </c>
      <c r="B135" s="63" t="s">
        <v>355</v>
      </c>
      <c r="C135" s="16" t="s">
        <v>356</v>
      </c>
      <c r="D135" s="52" t="s">
        <v>336</v>
      </c>
      <c r="E135" s="52">
        <v>4</v>
      </c>
      <c r="F135" s="52">
        <v>56.44</v>
      </c>
      <c r="G135" s="10">
        <v>0</v>
      </c>
      <c r="H135" s="65">
        <f t="shared" si="154"/>
        <v>0</v>
      </c>
      <c r="I135" s="10"/>
      <c r="J135" s="10">
        <f t="shared" si="155"/>
        <v>0</v>
      </c>
      <c r="K135" s="10"/>
      <c r="L135" s="10">
        <f t="shared" si="156"/>
        <v>0</v>
      </c>
      <c r="M135" s="10"/>
      <c r="N135" s="10">
        <v>25</v>
      </c>
      <c r="O135" s="10">
        <f t="shared" si="157"/>
        <v>14.11</v>
      </c>
      <c r="P135" s="10"/>
      <c r="Q135" s="10"/>
      <c r="R135" s="10">
        <v>40</v>
      </c>
      <c r="S135" s="10">
        <f t="shared" si="145"/>
        <v>28.22</v>
      </c>
      <c r="T135" s="10">
        <v>30</v>
      </c>
      <c r="U135" s="10">
        <f t="shared" si="146"/>
        <v>29.631</v>
      </c>
      <c r="V135" s="10">
        <v>30</v>
      </c>
      <c r="W135" s="10">
        <f t="shared" si="147"/>
        <v>29.631</v>
      </c>
      <c r="X135" s="66">
        <f t="shared" si="148"/>
        <v>158.03200000000001</v>
      </c>
      <c r="Y135" s="66">
        <f t="shared" si="175"/>
        <v>1.5228426395939085</v>
      </c>
      <c r="Z135" s="66">
        <f t="shared" si="176"/>
        <v>9.4819200000000006</v>
      </c>
      <c r="AA135" s="66">
        <f t="shared" si="151"/>
        <v>11.062240000000001</v>
      </c>
      <c r="AB135" s="66">
        <f t="shared" si="152"/>
        <v>180.09900263959392</v>
      </c>
      <c r="AC135" s="106">
        <f t="shared" si="153"/>
        <v>54.389898797157365</v>
      </c>
      <c r="AD135" s="106">
        <f t="shared" si="158"/>
        <v>17.649702258680204</v>
      </c>
      <c r="AE135" s="106">
        <f t="shared" si="159"/>
        <v>9.1247159687350266</v>
      </c>
      <c r="AF135" s="66" t="s">
        <v>97</v>
      </c>
      <c r="AG135" s="129">
        <v>32.83</v>
      </c>
      <c r="AH135" s="132">
        <v>9.6999999999999993</v>
      </c>
      <c r="AI135" s="67">
        <v>13.289</v>
      </c>
      <c r="AJ135" s="67">
        <v>13.968</v>
      </c>
      <c r="AK135" s="67">
        <v>14.743999999999998</v>
      </c>
      <c r="AL135" s="66">
        <f t="shared" si="160"/>
        <v>13.765916666666667</v>
      </c>
      <c r="AM135" s="66">
        <f t="shared" si="177"/>
        <v>103.94506015833335</v>
      </c>
      <c r="AN135" s="66"/>
      <c r="AO135" s="66"/>
      <c r="AP135" s="66"/>
      <c r="AQ135" s="66">
        <f t="shared" si="178"/>
        <v>0</v>
      </c>
      <c r="AR135" s="66">
        <f t="shared" si="163"/>
        <v>103.94506015833335</v>
      </c>
      <c r="AS135" s="64" t="s">
        <v>191</v>
      </c>
      <c r="AT135" s="64">
        <v>209.04</v>
      </c>
      <c r="AU135" s="64">
        <v>0.72</v>
      </c>
      <c r="AV135" s="64">
        <f t="shared" si="179"/>
        <v>4.7653506763199998</v>
      </c>
      <c r="AW135" s="133">
        <v>50000</v>
      </c>
      <c r="AX135" s="133">
        <v>23</v>
      </c>
      <c r="AY135" s="133" t="s">
        <v>207</v>
      </c>
      <c r="AZ135" s="106">
        <v>6424.57</v>
      </c>
      <c r="BA135" s="64">
        <v>4</v>
      </c>
      <c r="BB135" s="133">
        <f t="shared" si="180"/>
        <v>11.821208800000001</v>
      </c>
      <c r="BC135" s="106">
        <v>48.62</v>
      </c>
      <c r="BD135" s="106">
        <v>17.510000000000002</v>
      </c>
      <c r="BE135" s="66">
        <v>142.82</v>
      </c>
      <c r="BF135" s="106">
        <v>5.19</v>
      </c>
      <c r="BG135" s="106"/>
      <c r="BH135" s="149">
        <f t="shared" si="181"/>
        <v>586.81022333008491</v>
      </c>
      <c r="BI135" s="106">
        <f t="shared" si="165"/>
        <v>36.019800527918783</v>
      </c>
      <c r="BJ135" s="149">
        <f t="shared" si="182"/>
        <v>631.95473982673866</v>
      </c>
      <c r="BK135" s="154">
        <f t="shared" si="183"/>
        <v>569.16052107140467</v>
      </c>
      <c r="BL135" s="62"/>
      <c r="BM135" s="62"/>
      <c r="BN135" s="62"/>
      <c r="BO135" s="39"/>
      <c r="BS135" s="48"/>
    </row>
    <row r="136" spans="1:71" ht="141" customHeight="1">
      <c r="A136" s="40" t="s">
        <v>446</v>
      </c>
      <c r="B136" s="27" t="s">
        <v>389</v>
      </c>
      <c r="C136" s="27"/>
      <c r="D136" s="27"/>
      <c r="E136" s="27"/>
      <c r="F136" s="10"/>
      <c r="G136" s="78"/>
      <c r="H136" s="79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129"/>
      <c r="Y136" s="129"/>
      <c r="Z136" s="137"/>
      <c r="AA136" s="137"/>
      <c r="AB136" s="137"/>
      <c r="AC136" s="137"/>
      <c r="AD136" s="137"/>
      <c r="AE136" s="137"/>
      <c r="AF136" s="137"/>
      <c r="AG136" s="137"/>
      <c r="AH136" s="138"/>
      <c r="AI136" s="106"/>
      <c r="AJ136" s="129"/>
      <c r="AK136" s="139"/>
      <c r="AL136" s="140"/>
      <c r="AM136" s="139"/>
      <c r="AN136" s="137"/>
      <c r="AO136" s="137"/>
      <c r="AP136" s="106"/>
      <c r="AQ136" s="106"/>
      <c r="AR136" s="137"/>
      <c r="AS136" s="137"/>
      <c r="AT136" s="106"/>
      <c r="AU136" s="106"/>
      <c r="AV136" s="106"/>
      <c r="AW136" s="106"/>
      <c r="AX136" s="106"/>
      <c r="AY136" s="106"/>
      <c r="AZ136" s="129"/>
      <c r="BA136" s="137"/>
      <c r="BB136" s="137"/>
      <c r="BC136" s="137"/>
      <c r="BD136" s="137"/>
      <c r="BE136" s="137"/>
      <c r="BF136" s="137"/>
      <c r="BG136" s="137"/>
      <c r="BH136" s="151"/>
      <c r="BI136" s="137"/>
      <c r="BJ136" s="151"/>
      <c r="BK136" s="155"/>
      <c r="BL136" s="62"/>
      <c r="BM136" s="62"/>
      <c r="BN136" s="62"/>
      <c r="BO136" s="39"/>
      <c r="BS136" s="48"/>
    </row>
    <row r="137" spans="1:71" ht="78.75">
      <c r="A137" s="74"/>
      <c r="B137" s="27" t="s">
        <v>390</v>
      </c>
      <c r="C137" s="27"/>
      <c r="D137" s="10" t="s">
        <v>391</v>
      </c>
      <c r="E137" s="78">
        <v>6</v>
      </c>
      <c r="F137" s="79">
        <v>79.959999999999994</v>
      </c>
      <c r="G137" s="72">
        <v>8</v>
      </c>
      <c r="H137" s="72">
        <f>F137*G137/100</f>
        <v>6.3967999999999998</v>
      </c>
      <c r="I137" s="72"/>
      <c r="J137" s="72">
        <f>F137*I137/100</f>
        <v>0</v>
      </c>
      <c r="K137" s="72">
        <v>0</v>
      </c>
      <c r="L137" s="72">
        <f>F137*K137/100</f>
        <v>0</v>
      </c>
      <c r="M137" s="72">
        <v>0</v>
      </c>
      <c r="N137" s="72">
        <v>0</v>
      </c>
      <c r="O137" s="72">
        <f>F137*N137/100</f>
        <v>0</v>
      </c>
      <c r="P137" s="72"/>
      <c r="Q137" s="72"/>
      <c r="R137" s="72">
        <v>40</v>
      </c>
      <c r="S137" s="72">
        <f>(F137+H137+J137+L137+M137+O137+Q137)*R137/100</f>
        <v>34.542720000000003</v>
      </c>
      <c r="T137" s="72">
        <v>30</v>
      </c>
      <c r="U137" s="72">
        <f>(F137+H137+J137+L137+M137+O137+Q137+S137)*30/100</f>
        <v>36.269855999999997</v>
      </c>
      <c r="V137" s="72">
        <v>30</v>
      </c>
      <c r="W137" s="72">
        <f>U137</f>
        <v>36.269855999999997</v>
      </c>
      <c r="X137" s="137">
        <f>F137+H137+J137+L137+M137+O137+Q137+S137+U137+W137</f>
        <v>193.439232</v>
      </c>
      <c r="Y137" s="137">
        <f>3000/1970</f>
        <v>1.5228426395939085</v>
      </c>
      <c r="Z137" s="137">
        <f>(X137-S137*1.6)*0.06</f>
        <v>8.2902528000000011</v>
      </c>
      <c r="AA137" s="137">
        <f>X137*0.07</f>
        <v>13.540746240000001</v>
      </c>
      <c r="AB137" s="137">
        <f>X137+Y137+Z137+AA137</f>
        <v>216.7930736795939</v>
      </c>
      <c r="AC137" s="106">
        <f>AB137*0.302</f>
        <v>65.471508251237353</v>
      </c>
      <c r="AD137" s="106">
        <f>AB137*0.098</f>
        <v>21.245721220600203</v>
      </c>
      <c r="AE137" s="106">
        <f>AB137*1.0133*0.05</f>
        <v>10.983821077976627</v>
      </c>
      <c r="AF137" s="138" t="s">
        <v>392</v>
      </c>
      <c r="AG137" s="129">
        <v>32.83</v>
      </c>
      <c r="AH137" s="129">
        <v>16.2</v>
      </c>
      <c r="AI137" s="129">
        <v>16.2</v>
      </c>
      <c r="AJ137" s="129">
        <f>16.2*1.07</f>
        <v>17.334</v>
      </c>
      <c r="AK137" s="129">
        <f>16.2*1.15</f>
        <v>18.63</v>
      </c>
      <c r="AL137" s="137">
        <f>(AI137*7+AJ137*2+AK137*3)/12</f>
        <v>16.996499999999997</v>
      </c>
      <c r="AM137" s="137">
        <f>AG137*AL137</f>
        <v>557.99509499999988</v>
      </c>
      <c r="AN137" s="106"/>
      <c r="AO137" s="106"/>
      <c r="AP137" s="137"/>
      <c r="AQ137" s="137"/>
      <c r="AR137" s="106">
        <f>AM137+AQ137</f>
        <v>557.99509499999988</v>
      </c>
      <c r="AS137" s="106" t="s">
        <v>393</v>
      </c>
      <c r="AT137" s="106">
        <v>131.25</v>
      </c>
      <c r="AU137" s="137">
        <v>4.5</v>
      </c>
      <c r="AV137" s="137">
        <f>AT137*AL137*AU137/100</f>
        <v>100.38557812499999</v>
      </c>
      <c r="AW137" s="106"/>
      <c r="AX137" s="129"/>
      <c r="AY137" s="137"/>
      <c r="AZ137" s="129"/>
      <c r="BA137" s="137"/>
      <c r="BB137" s="137"/>
      <c r="BC137" s="106">
        <v>48.62</v>
      </c>
      <c r="BD137" s="106">
        <v>17.510000000000002</v>
      </c>
      <c r="BE137" s="129">
        <v>3775.63</v>
      </c>
      <c r="BF137" s="137">
        <f>5.19*7</f>
        <v>36.330000000000005</v>
      </c>
      <c r="BG137" s="137"/>
      <c r="BH137" s="151">
        <f>AB137+AB138+AB139+AB140+AC137+AC138+AC139+AC140+AD137+AD138+AD139+AR137+AR138+AV137+AV138+BC137+BD137+BE137+BF137</f>
        <v>6638.5252415183404</v>
      </c>
      <c r="BI137" s="66">
        <f>(AB137+AB138+AB139)*0.2</f>
        <v>241.91456303951273</v>
      </c>
      <c r="BJ137" s="150">
        <f>BH137+BI137+AE137+AE138+AE139</f>
        <v>6941.722811239837</v>
      </c>
      <c r="BK137" s="155">
        <f>BH137-AD137-AD138-AD139</f>
        <v>6519.9871056289794</v>
      </c>
      <c r="BL137" s="62"/>
      <c r="BM137" s="62"/>
      <c r="BN137" s="62"/>
      <c r="BO137" s="39"/>
      <c r="BS137" s="48"/>
    </row>
    <row r="138" spans="1:71" ht="47.25">
      <c r="A138" s="40"/>
      <c r="B138" s="27"/>
      <c r="C138" s="27"/>
      <c r="D138" s="10" t="s">
        <v>394</v>
      </c>
      <c r="E138" s="78">
        <v>5</v>
      </c>
      <c r="F138" s="79">
        <v>77.14</v>
      </c>
      <c r="G138" s="72">
        <v>8</v>
      </c>
      <c r="H138" s="72">
        <f>F138*G138/100</f>
        <v>6.1711999999999998</v>
      </c>
      <c r="I138" s="72"/>
      <c r="J138" s="72">
        <f>F138*I138/100</f>
        <v>0</v>
      </c>
      <c r="K138" s="72">
        <v>0</v>
      </c>
      <c r="L138" s="72">
        <f>F138*K138/100</f>
        <v>0</v>
      </c>
      <c r="M138" s="72">
        <v>0</v>
      </c>
      <c r="N138" s="72">
        <v>0</v>
      </c>
      <c r="O138" s="72">
        <f>F138*N138/100</f>
        <v>0</v>
      </c>
      <c r="P138" s="72"/>
      <c r="Q138" s="72"/>
      <c r="R138" s="72">
        <v>40</v>
      </c>
      <c r="S138" s="72">
        <f>(F138+H138+J138+L138+M138+O138+Q138)*R138/100</f>
        <v>33.324480000000001</v>
      </c>
      <c r="T138" s="72">
        <v>30</v>
      </c>
      <c r="U138" s="72">
        <f>(F138+H138+J138+L138+M138+O138+Q138+S138)*30/100</f>
        <v>34.990704000000001</v>
      </c>
      <c r="V138" s="72">
        <v>30</v>
      </c>
      <c r="W138" s="72">
        <f>U138</f>
        <v>34.990704000000001</v>
      </c>
      <c r="X138" s="137">
        <f>(F138+H138+J138+L138+M138+O138+Q138+S138+U138+W138)*2</f>
        <v>373.23417599999999</v>
      </c>
      <c r="Y138" s="137">
        <f>3000/1970*2</f>
        <v>3.0456852791878171</v>
      </c>
      <c r="Z138" s="137">
        <f>(X138-S138*1.6*2)*0.06</f>
        <v>15.995750399999997</v>
      </c>
      <c r="AA138" s="137">
        <f>X138*0.07</f>
        <v>26.126392320000001</v>
      </c>
      <c r="AB138" s="137">
        <f>X138+Y138+Z138+AA138</f>
        <v>418.4020039991878</v>
      </c>
      <c r="AC138" s="106">
        <f>AB138*0.302</f>
        <v>126.35740520775471</v>
      </c>
      <c r="AD138" s="106">
        <f>AB138*0.098</f>
        <v>41.003396391920404</v>
      </c>
      <c r="AE138" s="106">
        <f>AB138*1.0133*0.05</f>
        <v>21.198337532618851</v>
      </c>
      <c r="AF138" s="138" t="s">
        <v>98</v>
      </c>
      <c r="AG138" s="106">
        <v>30.04</v>
      </c>
      <c r="AH138" s="129">
        <v>3</v>
      </c>
      <c r="AI138" s="139">
        <v>3</v>
      </c>
      <c r="AJ138" s="140">
        <f>3*1.07</f>
        <v>3.21</v>
      </c>
      <c r="AK138" s="139">
        <f>3*1.15</f>
        <v>3.4499999999999997</v>
      </c>
      <c r="AL138" s="137">
        <f>(AI138*7+AJ138*2+AK138*3)/12</f>
        <v>3.1475000000000004</v>
      </c>
      <c r="AM138" s="137">
        <f>AG138*AL138</f>
        <v>94.550900000000013</v>
      </c>
      <c r="AN138" s="137"/>
      <c r="AO138" s="137"/>
      <c r="AP138" s="137"/>
      <c r="AQ138" s="137"/>
      <c r="AR138" s="106">
        <f>AM138+AQ138</f>
        <v>94.550900000000013</v>
      </c>
      <c r="AS138" s="137" t="s">
        <v>189</v>
      </c>
      <c r="AT138" s="137">
        <v>50.1</v>
      </c>
      <c r="AU138" s="137">
        <v>2.4</v>
      </c>
      <c r="AV138" s="137">
        <f>AT138*AL138*AU138/100</f>
        <v>3.7845540000000004</v>
      </c>
      <c r="AW138" s="106"/>
      <c r="AX138" s="129"/>
      <c r="AY138" s="137"/>
      <c r="AZ138" s="129"/>
      <c r="BA138" s="137"/>
      <c r="BB138" s="137"/>
      <c r="BC138" s="137"/>
      <c r="BD138" s="137"/>
      <c r="BE138" s="137"/>
      <c r="BF138" s="137"/>
      <c r="BG138" s="137"/>
      <c r="BH138" s="151"/>
      <c r="BI138" s="66"/>
      <c r="BJ138" s="150"/>
      <c r="BK138" s="155"/>
      <c r="BL138" s="62"/>
      <c r="BM138" s="62"/>
      <c r="BN138" s="62"/>
      <c r="BO138" s="39"/>
      <c r="BS138" s="48"/>
    </row>
    <row r="139" spans="1:71" ht="31.5">
      <c r="A139" s="40"/>
      <c r="B139" s="27"/>
      <c r="C139" s="27"/>
      <c r="D139" s="10" t="s">
        <v>395</v>
      </c>
      <c r="E139" s="78">
        <v>4</v>
      </c>
      <c r="F139" s="79">
        <v>70.55</v>
      </c>
      <c r="G139" s="72">
        <v>8</v>
      </c>
      <c r="H139" s="72">
        <f>F139*G139/100</f>
        <v>5.6440000000000001</v>
      </c>
      <c r="I139" s="72"/>
      <c r="J139" s="72">
        <f>F139*I139/100</f>
        <v>0</v>
      </c>
      <c r="K139" s="72">
        <v>0</v>
      </c>
      <c r="L139" s="72">
        <f>F139*K139/100</f>
        <v>0</v>
      </c>
      <c r="M139" s="72">
        <v>0</v>
      </c>
      <c r="N139" s="72">
        <v>0</v>
      </c>
      <c r="O139" s="72">
        <f>F139*N139/100</f>
        <v>0</v>
      </c>
      <c r="P139" s="72"/>
      <c r="Q139" s="72"/>
      <c r="R139" s="72">
        <v>40</v>
      </c>
      <c r="S139" s="72">
        <f>(F139+H139+J139+L139+M139+O139+Q139)*R139/100</f>
        <v>30.477600000000002</v>
      </c>
      <c r="T139" s="72">
        <v>30</v>
      </c>
      <c r="U139" s="72">
        <f>(F139+H139+J139+L139+M139+O139+Q139+S139)*30/100</f>
        <v>32.001480000000001</v>
      </c>
      <c r="V139" s="72">
        <v>30</v>
      </c>
      <c r="W139" s="72">
        <f>U139</f>
        <v>32.001480000000001</v>
      </c>
      <c r="X139" s="137">
        <f>(F139+H139+J139+L139+M139+O139+Q139+S139+U139+W139)*3</f>
        <v>512.02368000000013</v>
      </c>
      <c r="Y139" s="137">
        <f>3000/1970*3</f>
        <v>4.5685279187817258</v>
      </c>
      <c r="Z139" s="137">
        <f>(X139-S139*1.6*3)*0.06</f>
        <v>21.943872000000006</v>
      </c>
      <c r="AA139" s="137">
        <f>X139*0.07</f>
        <v>35.841657600000012</v>
      </c>
      <c r="AB139" s="137">
        <f>X139+Y139+Z139+AA139</f>
        <v>574.37773751878183</v>
      </c>
      <c r="AC139" s="106">
        <f>AB139*0.302</f>
        <v>173.46207673067209</v>
      </c>
      <c r="AD139" s="106">
        <f>AB139*0.098</f>
        <v>56.289018276840622</v>
      </c>
      <c r="AE139" s="106">
        <f>AB139*1.0133*0.05</f>
        <v>29.100848071389084</v>
      </c>
      <c r="AF139" s="138"/>
      <c r="AG139" s="106"/>
      <c r="AH139" s="129"/>
      <c r="AI139" s="139"/>
      <c r="AJ139" s="140"/>
      <c r="AK139" s="139"/>
      <c r="AL139" s="137"/>
      <c r="AM139" s="137"/>
      <c r="AN139" s="106"/>
      <c r="AO139" s="106"/>
      <c r="AP139" s="137"/>
      <c r="AQ139" s="137"/>
      <c r="AR139" s="106"/>
      <c r="AS139" s="106"/>
      <c r="AT139" s="106"/>
      <c r="AU139" s="106"/>
      <c r="AV139" s="106"/>
      <c r="AW139" s="106"/>
      <c r="AX139" s="129"/>
      <c r="AY139" s="137"/>
      <c r="AZ139" s="129"/>
      <c r="BA139" s="137"/>
      <c r="BB139" s="137"/>
      <c r="BC139" s="137"/>
      <c r="BD139" s="137"/>
      <c r="BE139" s="137"/>
      <c r="BF139" s="137"/>
      <c r="BG139" s="137"/>
      <c r="BH139" s="151"/>
      <c r="BI139" s="66"/>
      <c r="BJ139" s="150"/>
      <c r="BK139" s="155"/>
      <c r="BL139" s="62"/>
      <c r="BM139" s="62"/>
      <c r="BN139" s="62"/>
      <c r="BO139" s="39"/>
      <c r="BS139" s="48"/>
    </row>
    <row r="140" spans="1:71" ht="47.25">
      <c r="A140" s="40"/>
      <c r="B140" s="27"/>
      <c r="C140" s="27"/>
      <c r="D140" s="10" t="s">
        <v>396</v>
      </c>
      <c r="E140" s="78"/>
      <c r="F140" s="79">
        <v>95</v>
      </c>
      <c r="G140" s="72">
        <v>0</v>
      </c>
      <c r="H140" s="72">
        <f>F140*G140/100</f>
        <v>0</v>
      </c>
      <c r="I140" s="72"/>
      <c r="J140" s="72">
        <f>F140*I140/100</f>
        <v>0</v>
      </c>
      <c r="K140" s="72">
        <v>0</v>
      </c>
      <c r="L140" s="72">
        <f>F140*K140/100</f>
        <v>0</v>
      </c>
      <c r="M140" s="72">
        <v>0</v>
      </c>
      <c r="N140" s="72">
        <v>0</v>
      </c>
      <c r="O140" s="72">
        <f>F140*N140/100</f>
        <v>0</v>
      </c>
      <c r="P140" s="72"/>
      <c r="Q140" s="72"/>
      <c r="R140" s="72">
        <v>40</v>
      </c>
      <c r="S140" s="72">
        <f>(F140+H140+J140+L140+M140+O140+Q140)*R140/100</f>
        <v>38</v>
      </c>
      <c r="T140" s="72">
        <v>30</v>
      </c>
      <c r="U140" s="72">
        <f>(F140+H140+J140+L140+M140+O140+Q140+S140)*30/100</f>
        <v>39.9</v>
      </c>
      <c r="V140" s="72">
        <v>30</v>
      </c>
      <c r="W140" s="72">
        <f>U140</f>
        <v>39.9</v>
      </c>
      <c r="X140" s="137">
        <f>F140+H140+J140+L140+M140+O140+Q140+S140+U140+W140</f>
        <v>212.8</v>
      </c>
      <c r="Y140" s="137">
        <f>3000/1970</f>
        <v>1.5228426395939085</v>
      </c>
      <c r="Z140" s="137">
        <f>(X140-S140*1.6)*0.06</f>
        <v>9.1199999999999992</v>
      </c>
      <c r="AA140" s="137">
        <f>X140*0.07</f>
        <v>14.896000000000003</v>
      </c>
      <c r="AB140" s="137">
        <f>X140+Y140+Z140+AA140</f>
        <v>238.33884263959393</v>
      </c>
      <c r="AC140" s="106">
        <f>AB140*0.302</f>
        <v>71.978330477157371</v>
      </c>
      <c r="AD140" s="137"/>
      <c r="AE140" s="137"/>
      <c r="AF140" s="138"/>
      <c r="AG140" s="106"/>
      <c r="AH140" s="129"/>
      <c r="AI140" s="139"/>
      <c r="AJ140" s="140"/>
      <c r="AK140" s="139"/>
      <c r="AL140" s="137"/>
      <c r="AM140" s="137"/>
      <c r="AN140" s="106"/>
      <c r="AO140" s="106"/>
      <c r="AP140" s="137"/>
      <c r="AQ140" s="137"/>
      <c r="AR140" s="106"/>
      <c r="AS140" s="106"/>
      <c r="AT140" s="106"/>
      <c r="AU140" s="106"/>
      <c r="AV140" s="106"/>
      <c r="AW140" s="106"/>
      <c r="AX140" s="129"/>
      <c r="AY140" s="137"/>
      <c r="AZ140" s="129"/>
      <c r="BA140" s="137"/>
      <c r="BB140" s="137"/>
      <c r="BC140" s="137"/>
      <c r="BD140" s="137"/>
      <c r="BE140" s="137"/>
      <c r="BF140" s="137"/>
      <c r="BG140" s="137"/>
      <c r="BH140" s="151"/>
      <c r="BI140" s="66"/>
      <c r="BJ140" s="150"/>
      <c r="BK140" s="155"/>
      <c r="BL140" s="62"/>
      <c r="BM140" s="62"/>
      <c r="BN140" s="62"/>
      <c r="BO140" s="39"/>
      <c r="BS140" s="48"/>
    </row>
    <row r="141" spans="1:71" ht="93.75" customHeight="1">
      <c r="A141" s="74"/>
      <c r="B141" s="63" t="s">
        <v>397</v>
      </c>
      <c r="C141" s="16"/>
      <c r="D141" s="16"/>
      <c r="E141" s="16"/>
      <c r="F141" s="64"/>
      <c r="G141" s="10"/>
      <c r="H141" s="65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66"/>
      <c r="Y141" s="66"/>
      <c r="Z141" s="66"/>
      <c r="AA141" s="66"/>
      <c r="AB141" s="66"/>
      <c r="AC141" s="66"/>
      <c r="AD141" s="106"/>
      <c r="AE141" s="106"/>
      <c r="AF141" s="66"/>
      <c r="AG141" s="106"/>
      <c r="AH141" s="132"/>
      <c r="AI141" s="67"/>
      <c r="AJ141" s="67"/>
      <c r="AK141" s="67"/>
      <c r="AL141" s="66"/>
      <c r="AM141" s="66"/>
      <c r="AN141" s="66"/>
      <c r="AO141" s="66"/>
      <c r="AP141" s="66"/>
      <c r="AQ141" s="66"/>
      <c r="AR141" s="66"/>
      <c r="AS141" s="64"/>
      <c r="AT141" s="64"/>
      <c r="AU141" s="64"/>
      <c r="AV141" s="64"/>
      <c r="AW141" s="133"/>
      <c r="AX141" s="133"/>
      <c r="AY141" s="133"/>
      <c r="AZ141" s="106"/>
      <c r="BA141" s="64"/>
      <c r="BB141" s="133"/>
      <c r="BC141" s="106"/>
      <c r="BD141" s="106"/>
      <c r="BE141" s="66"/>
      <c r="BF141" s="106"/>
      <c r="BG141" s="106">
        <f>BJ60+BJ79</f>
        <v>2185.2326144837439</v>
      </c>
      <c r="BH141" s="150">
        <f>BH137+BG141</f>
        <v>8823.7578560020847</v>
      </c>
      <c r="BI141" s="66"/>
      <c r="BJ141" s="150">
        <f>BJ137+BG141</f>
        <v>9126.9554257235814</v>
      </c>
      <c r="BK141" s="155">
        <f>BK137+BG141</f>
        <v>8705.2197201127237</v>
      </c>
      <c r="BL141" s="62"/>
      <c r="BM141" s="62"/>
      <c r="BN141" s="62"/>
      <c r="BO141" s="39"/>
      <c r="BS141" s="48"/>
    </row>
    <row r="142" spans="1:71" ht="123.75" customHeight="1">
      <c r="A142" s="74">
        <v>122</v>
      </c>
      <c r="B142" s="27" t="s">
        <v>398</v>
      </c>
      <c r="C142" s="27"/>
      <c r="D142" s="10"/>
      <c r="E142" s="78"/>
      <c r="F142" s="79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137"/>
      <c r="Y142" s="137"/>
      <c r="Z142" s="137"/>
      <c r="AA142" s="137"/>
      <c r="AB142" s="137"/>
      <c r="AC142" s="137"/>
      <c r="AD142" s="137"/>
      <c r="AE142" s="137"/>
      <c r="AF142" s="138"/>
      <c r="AG142" s="106"/>
      <c r="AH142" s="129"/>
      <c r="AI142" s="139"/>
      <c r="AJ142" s="140"/>
      <c r="AK142" s="139"/>
      <c r="AL142" s="137"/>
      <c r="AM142" s="137"/>
      <c r="AN142" s="106"/>
      <c r="AO142" s="106"/>
      <c r="AP142" s="137"/>
      <c r="AQ142" s="137"/>
      <c r="AR142" s="106"/>
      <c r="AS142" s="106"/>
      <c r="AT142" s="106"/>
      <c r="AU142" s="106"/>
      <c r="AV142" s="106"/>
      <c r="AW142" s="106"/>
      <c r="AX142" s="129"/>
      <c r="AY142" s="137"/>
      <c r="AZ142" s="129"/>
      <c r="BA142" s="137"/>
      <c r="BB142" s="137"/>
      <c r="BC142" s="137"/>
      <c r="BD142" s="137"/>
      <c r="BE142" s="137"/>
      <c r="BF142" s="137"/>
      <c r="BG142" s="137"/>
      <c r="BH142" s="150"/>
      <c r="BI142" s="66"/>
      <c r="BJ142" s="150"/>
      <c r="BK142" s="155"/>
      <c r="BL142" s="62"/>
      <c r="BM142" s="62"/>
      <c r="BN142" s="62"/>
      <c r="BO142" s="39"/>
      <c r="BS142" s="48"/>
    </row>
    <row r="143" spans="1:71" ht="78.75">
      <c r="A143" s="74"/>
      <c r="B143" s="27" t="s">
        <v>390</v>
      </c>
      <c r="C143" s="27"/>
      <c r="D143" s="10" t="s">
        <v>391</v>
      </c>
      <c r="E143" s="78">
        <v>6</v>
      </c>
      <c r="F143" s="79">
        <v>79.959999999999994</v>
      </c>
      <c r="G143" s="72">
        <v>8</v>
      </c>
      <c r="H143" s="72">
        <f>F143*G143/100</f>
        <v>6.3967999999999998</v>
      </c>
      <c r="I143" s="72"/>
      <c r="J143" s="72">
        <f>F143*I143/100</f>
        <v>0</v>
      </c>
      <c r="K143" s="72">
        <v>0</v>
      </c>
      <c r="L143" s="72">
        <f>F143*K143/100</f>
        <v>0</v>
      </c>
      <c r="M143" s="72">
        <v>0</v>
      </c>
      <c r="N143" s="72">
        <v>0</v>
      </c>
      <c r="O143" s="72">
        <f>F143*N143/100</f>
        <v>0</v>
      </c>
      <c r="P143" s="72"/>
      <c r="Q143" s="72"/>
      <c r="R143" s="72">
        <v>40</v>
      </c>
      <c r="S143" s="72">
        <f>(F143+H143+J143+L143+M143+O143+Q143)*R143/100</f>
        <v>34.542720000000003</v>
      </c>
      <c r="T143" s="72">
        <v>30</v>
      </c>
      <c r="U143" s="72">
        <f>(F143+H143+J143+L143+M143+O143+Q143+S143)*30/100</f>
        <v>36.269855999999997</v>
      </c>
      <c r="V143" s="72">
        <v>30</v>
      </c>
      <c r="W143" s="72">
        <f>U143</f>
        <v>36.269855999999997</v>
      </c>
      <c r="X143" s="137">
        <f>F143+H143+J143+L143+M143+O143+Q143+S143+U143+W143</f>
        <v>193.439232</v>
      </c>
      <c r="Y143" s="137">
        <f>3000/1970</f>
        <v>1.5228426395939085</v>
      </c>
      <c r="Z143" s="137">
        <f>(X143-S143*1.6)*0.06</f>
        <v>8.2902528000000011</v>
      </c>
      <c r="AA143" s="137">
        <f>X143*0.07</f>
        <v>13.540746240000001</v>
      </c>
      <c r="AB143" s="137">
        <f>X143+Y143+Z143+AA143</f>
        <v>216.7930736795939</v>
      </c>
      <c r="AC143" s="106">
        <f>AB143*0.302</f>
        <v>65.471508251237353</v>
      </c>
      <c r="AD143" s="106">
        <f>AB143*0.098</f>
        <v>21.245721220600203</v>
      </c>
      <c r="AE143" s="106">
        <f>AB143*1.0133*0.05</f>
        <v>10.983821077976627</v>
      </c>
      <c r="AF143" s="138" t="s">
        <v>392</v>
      </c>
      <c r="AG143" s="129">
        <v>32.83</v>
      </c>
      <c r="AH143" s="129">
        <v>4.5</v>
      </c>
      <c r="AI143" s="129">
        <v>4.5</v>
      </c>
      <c r="AJ143" s="129">
        <f>4.5*1.07</f>
        <v>4.8150000000000004</v>
      </c>
      <c r="AK143" s="129">
        <f>4.5*1.15</f>
        <v>5.1749999999999998</v>
      </c>
      <c r="AL143" s="137">
        <f>(AI143*7+AJ143*2+AK143*3)/12</f>
        <v>4.7212500000000004</v>
      </c>
      <c r="AM143" s="137">
        <f>AG143*AL143</f>
        <v>154.9986375</v>
      </c>
      <c r="AN143" s="106"/>
      <c r="AO143" s="106"/>
      <c r="AP143" s="137"/>
      <c r="AQ143" s="137"/>
      <c r="AR143" s="106">
        <f>AM143+AQ143</f>
        <v>154.9986375</v>
      </c>
      <c r="AS143" s="106" t="s">
        <v>393</v>
      </c>
      <c r="AT143" s="106">
        <v>131.25</v>
      </c>
      <c r="AU143" s="137">
        <v>4.5</v>
      </c>
      <c r="AV143" s="137">
        <f>AT143*AL143*AU143/100</f>
        <v>27.884882812499999</v>
      </c>
      <c r="AW143" s="106"/>
      <c r="AX143" s="129"/>
      <c r="AY143" s="137"/>
      <c r="AZ143" s="129"/>
      <c r="BA143" s="137"/>
      <c r="BB143" s="137"/>
      <c r="BC143" s="106">
        <v>48.62</v>
      </c>
      <c r="BD143" s="106">
        <v>17.510000000000002</v>
      </c>
      <c r="BE143" s="137">
        <v>287.33</v>
      </c>
      <c r="BF143" s="137">
        <f>4*5.19</f>
        <v>20.76</v>
      </c>
      <c r="BG143" s="137"/>
      <c r="BH143" s="150">
        <f>AB143+AB144+AB145+AB146+AC143+AC144+AC145+AC146+AD143+AD144+AD145+AR143+AR144+AV143+AV144+BC143+BD143+BE143+BF143</f>
        <v>1768.3518815635455</v>
      </c>
      <c r="BI143" s="66">
        <f>0.2*(AB143+AB144+AB145)</f>
        <v>121.68049444775635</v>
      </c>
      <c r="BJ143" s="150">
        <f>BH143+BI143+AE143+AE144+AE145</f>
        <v>1920.8570872672797</v>
      </c>
      <c r="BK143" s="155">
        <f>BH143-AD143-AD144-AD145</f>
        <v>1708.728439284145</v>
      </c>
      <c r="BL143" s="62"/>
      <c r="BM143" s="62"/>
      <c r="BN143" s="62"/>
      <c r="BO143" s="39"/>
      <c r="BS143" s="48"/>
    </row>
    <row r="144" spans="1:71" ht="47.25">
      <c r="A144" s="74"/>
      <c r="B144" s="27"/>
      <c r="C144" s="27"/>
      <c r="D144" s="10" t="s">
        <v>391</v>
      </c>
      <c r="E144" s="78">
        <v>5</v>
      </c>
      <c r="F144" s="79">
        <v>77.14</v>
      </c>
      <c r="G144" s="72">
        <v>8</v>
      </c>
      <c r="H144" s="72">
        <f>F144*G144/100</f>
        <v>6.1711999999999998</v>
      </c>
      <c r="I144" s="72"/>
      <c r="J144" s="72">
        <f>F144*I144/100</f>
        <v>0</v>
      </c>
      <c r="K144" s="72">
        <v>0</v>
      </c>
      <c r="L144" s="72">
        <f>F144*K144/100</f>
        <v>0</v>
      </c>
      <c r="M144" s="72">
        <v>0</v>
      </c>
      <c r="N144" s="72">
        <v>0</v>
      </c>
      <c r="O144" s="72">
        <f>F144*N144/100</f>
        <v>0</v>
      </c>
      <c r="P144" s="72"/>
      <c r="Q144" s="72"/>
      <c r="R144" s="72">
        <v>40</v>
      </c>
      <c r="S144" s="72">
        <f>(F144+H144+J144+L144+M144+O144+Q144)*R144/100</f>
        <v>33.324480000000001</v>
      </c>
      <c r="T144" s="72">
        <v>30</v>
      </c>
      <c r="U144" s="72">
        <f>(F144+H144+J144+L144+M144+O144+Q144+S144)*30/100</f>
        <v>34.990704000000001</v>
      </c>
      <c r="V144" s="72">
        <v>30</v>
      </c>
      <c r="W144" s="72">
        <f>U144</f>
        <v>34.990704000000001</v>
      </c>
      <c r="X144" s="137">
        <f>(F144+H144+J144+L144+M144+O144+Q144+S144+U144+W144)*1</f>
        <v>186.617088</v>
      </c>
      <c r="Y144" s="137">
        <f>3000/1970*1</f>
        <v>1.5228426395939085</v>
      </c>
      <c r="Z144" s="137">
        <f>(X144-S144*1.6*2)*0.06</f>
        <v>4.7987251199999994</v>
      </c>
      <c r="AA144" s="137">
        <f>X144*0.07</f>
        <v>13.06319616</v>
      </c>
      <c r="AB144" s="137">
        <f>X144+Y144+Z144+AA144</f>
        <v>206.00185191959389</v>
      </c>
      <c r="AC144" s="106">
        <f>AB144*0.302</f>
        <v>62.212559279717354</v>
      </c>
      <c r="AD144" s="106">
        <f>AB144*0.098</f>
        <v>20.1881814881202</v>
      </c>
      <c r="AE144" s="106">
        <f>AB144*1.0133*0.05</f>
        <v>10.437083827506227</v>
      </c>
      <c r="AF144" s="138" t="s">
        <v>98</v>
      </c>
      <c r="AG144" s="106">
        <v>30.04</v>
      </c>
      <c r="AH144" s="129">
        <v>1.5</v>
      </c>
      <c r="AI144" s="139">
        <v>1.5</v>
      </c>
      <c r="AJ144" s="140">
        <f>1.5*1.07</f>
        <v>1.605</v>
      </c>
      <c r="AK144" s="139">
        <f>1.5*1.15</f>
        <v>1.7249999999999999</v>
      </c>
      <c r="AL144" s="137">
        <f>(AI144*7+AJ144*2+AK144*3)/12</f>
        <v>1.5737500000000002</v>
      </c>
      <c r="AM144" s="137">
        <f>AG144*AL144</f>
        <v>47.275450000000006</v>
      </c>
      <c r="AN144" s="137"/>
      <c r="AO144" s="137"/>
      <c r="AP144" s="137"/>
      <c r="AQ144" s="137"/>
      <c r="AR144" s="106">
        <f>AM144+AQ144</f>
        <v>47.275450000000006</v>
      </c>
      <c r="AS144" s="137" t="s">
        <v>189</v>
      </c>
      <c r="AT144" s="137">
        <v>50.1</v>
      </c>
      <c r="AU144" s="137">
        <v>2.4</v>
      </c>
      <c r="AV144" s="137">
        <f>AT144*AL144*AU144/100</f>
        <v>1.8922770000000002</v>
      </c>
      <c r="AW144" s="106"/>
      <c r="AX144" s="129"/>
      <c r="AY144" s="137"/>
      <c r="AZ144" s="129"/>
      <c r="BA144" s="137"/>
      <c r="BB144" s="137"/>
      <c r="BC144" s="137"/>
      <c r="BD144" s="137"/>
      <c r="BE144" s="137"/>
      <c r="BF144" s="137"/>
      <c r="BG144" s="137"/>
      <c r="BH144" s="150"/>
      <c r="BI144" s="66"/>
      <c r="BJ144" s="150"/>
      <c r="BK144" s="155"/>
      <c r="BL144" s="62"/>
      <c r="BM144" s="62"/>
      <c r="BN144" s="62"/>
      <c r="BO144" s="39"/>
      <c r="BS144" s="48"/>
    </row>
    <row r="145" spans="1:71" ht="31.5">
      <c r="A145" s="74"/>
      <c r="B145" s="27"/>
      <c r="C145" s="27"/>
      <c r="D145" s="10" t="s">
        <v>391</v>
      </c>
      <c r="E145" s="78">
        <v>4</v>
      </c>
      <c r="F145" s="79">
        <v>70.55</v>
      </c>
      <c r="G145" s="72">
        <v>8</v>
      </c>
      <c r="H145" s="72">
        <f>F145*G145/100</f>
        <v>5.6440000000000001</v>
      </c>
      <c r="I145" s="72"/>
      <c r="J145" s="72">
        <f>F145*I145/100</f>
        <v>0</v>
      </c>
      <c r="K145" s="72">
        <v>0</v>
      </c>
      <c r="L145" s="72">
        <f>F145*K145/100</f>
        <v>0</v>
      </c>
      <c r="M145" s="72">
        <v>0</v>
      </c>
      <c r="N145" s="72">
        <v>0</v>
      </c>
      <c r="O145" s="72">
        <f>F145*N145/100</f>
        <v>0</v>
      </c>
      <c r="P145" s="72"/>
      <c r="Q145" s="72"/>
      <c r="R145" s="72">
        <v>40</v>
      </c>
      <c r="S145" s="72">
        <f>(F145+H145+J145+L145+M145+O145+Q145)*R145/100</f>
        <v>30.477600000000002</v>
      </c>
      <c r="T145" s="72">
        <v>30</v>
      </c>
      <c r="U145" s="72">
        <f>(F145+H145+J145+L145+M145+O145+Q145+S145)*30/100</f>
        <v>32.001480000000001</v>
      </c>
      <c r="V145" s="72">
        <v>30</v>
      </c>
      <c r="W145" s="72">
        <f>U145</f>
        <v>32.001480000000001</v>
      </c>
      <c r="X145" s="137">
        <f>(F145+H145+J145+L145+M145+O145+Q145+S145+U145+W145)*1</f>
        <v>170.67456000000004</v>
      </c>
      <c r="Y145" s="137">
        <f>3000/1970*1</f>
        <v>1.5228426395939085</v>
      </c>
      <c r="Z145" s="137">
        <f>(X145-S145*1.6*3)*0.06</f>
        <v>1.4629248000000017</v>
      </c>
      <c r="AA145" s="137">
        <f>X145*0.07</f>
        <v>11.947219200000005</v>
      </c>
      <c r="AB145" s="137">
        <f>X145+Y145+Z145+AA145</f>
        <v>185.60754663959395</v>
      </c>
      <c r="AC145" s="106">
        <f>AB145*0.302</f>
        <v>56.05347908515737</v>
      </c>
      <c r="AD145" s="106">
        <f>AB145*0.098</f>
        <v>18.189539570680207</v>
      </c>
      <c r="AE145" s="106">
        <f>AB145*1.0133*0.05</f>
        <v>9.4038063504950298</v>
      </c>
      <c r="AF145" s="138"/>
      <c r="AG145" s="106"/>
      <c r="AH145" s="129"/>
      <c r="AI145" s="139"/>
      <c r="AJ145" s="140"/>
      <c r="AK145" s="139"/>
      <c r="AL145" s="137"/>
      <c r="AM145" s="137"/>
      <c r="AN145" s="106"/>
      <c r="AO145" s="106"/>
      <c r="AP145" s="137"/>
      <c r="AQ145" s="137"/>
      <c r="AR145" s="106"/>
      <c r="AS145" s="106"/>
      <c r="AT145" s="106"/>
      <c r="AU145" s="106"/>
      <c r="AV145" s="106"/>
      <c r="AW145" s="106"/>
      <c r="AX145" s="129"/>
      <c r="AY145" s="137"/>
      <c r="AZ145" s="129"/>
      <c r="BA145" s="137"/>
      <c r="BB145" s="137"/>
      <c r="BC145" s="137"/>
      <c r="BD145" s="137"/>
      <c r="BE145" s="137"/>
      <c r="BF145" s="137"/>
      <c r="BG145" s="137"/>
      <c r="BH145" s="150"/>
      <c r="BI145" s="66"/>
      <c r="BJ145" s="150"/>
      <c r="BK145" s="155"/>
      <c r="BL145" s="62"/>
      <c r="BM145" s="62"/>
      <c r="BN145" s="62"/>
      <c r="BO145" s="39"/>
      <c r="BS145" s="48"/>
    </row>
    <row r="146" spans="1:71" ht="47.25">
      <c r="A146" s="15"/>
      <c r="B146" s="27"/>
      <c r="C146" s="27"/>
      <c r="D146" s="10" t="s">
        <v>399</v>
      </c>
      <c r="E146" s="78"/>
      <c r="F146" s="79">
        <v>95</v>
      </c>
      <c r="G146" s="72">
        <v>0</v>
      </c>
      <c r="H146" s="72">
        <f>F146*G146/100</f>
        <v>0</v>
      </c>
      <c r="I146" s="72"/>
      <c r="J146" s="72">
        <f>F146*I146/100</f>
        <v>0</v>
      </c>
      <c r="K146" s="72">
        <v>0</v>
      </c>
      <c r="L146" s="72">
        <f>F146*K146/100</f>
        <v>0</v>
      </c>
      <c r="M146" s="72">
        <v>0</v>
      </c>
      <c r="N146" s="72">
        <v>0</v>
      </c>
      <c r="O146" s="72">
        <f>F146*N146/100</f>
        <v>0</v>
      </c>
      <c r="P146" s="72"/>
      <c r="Q146" s="72"/>
      <c r="R146" s="72">
        <v>40</v>
      </c>
      <c r="S146" s="72">
        <f>(F146+H146+J146+L146+M146+O146+Q146)*R146/100</f>
        <v>38</v>
      </c>
      <c r="T146" s="72">
        <v>30</v>
      </c>
      <c r="U146" s="72">
        <f>(F146+H146+J146+L146+M146+O146+Q146+S146)*30/100</f>
        <v>39.9</v>
      </c>
      <c r="V146" s="72">
        <v>30</v>
      </c>
      <c r="W146" s="72">
        <f>U146</f>
        <v>39.9</v>
      </c>
      <c r="X146" s="137">
        <f>F146+H146+J146+L146+M146+O146+Q146+S146+U146+W146</f>
        <v>212.8</v>
      </c>
      <c r="Y146" s="137">
        <f>3000/1970</f>
        <v>1.5228426395939085</v>
      </c>
      <c r="Z146" s="137">
        <f>(X146-S146*1.6)*0.06</f>
        <v>9.1199999999999992</v>
      </c>
      <c r="AA146" s="137">
        <f>X146*0.07</f>
        <v>14.896000000000003</v>
      </c>
      <c r="AB146" s="137">
        <f>X146+Y146+Z146+AA146</f>
        <v>238.33884263959393</v>
      </c>
      <c r="AC146" s="106">
        <f>AB146*0.302</f>
        <v>71.978330477157371</v>
      </c>
      <c r="AD146" s="137"/>
      <c r="AE146" s="137"/>
      <c r="AF146" s="138"/>
      <c r="AG146" s="106"/>
      <c r="AH146" s="129"/>
      <c r="AI146" s="139"/>
      <c r="AJ146" s="140"/>
      <c r="AK146" s="139"/>
      <c r="AL146" s="137"/>
      <c r="AM146" s="137"/>
      <c r="AN146" s="106"/>
      <c r="AO146" s="106"/>
      <c r="AP146" s="137"/>
      <c r="AQ146" s="137"/>
      <c r="AR146" s="106"/>
      <c r="AS146" s="106"/>
      <c r="AT146" s="106"/>
      <c r="AU146" s="106"/>
      <c r="AV146" s="106"/>
      <c r="AW146" s="106"/>
      <c r="AX146" s="129"/>
      <c r="AY146" s="137"/>
      <c r="AZ146" s="129"/>
      <c r="BA146" s="137"/>
      <c r="BB146" s="137"/>
      <c r="BC146" s="137"/>
      <c r="BD146" s="137"/>
      <c r="BE146" s="137"/>
      <c r="BF146" s="137"/>
      <c r="BG146" s="137"/>
      <c r="BH146" s="150"/>
      <c r="BI146" s="66"/>
      <c r="BJ146" s="150"/>
      <c r="BK146" s="155"/>
      <c r="BL146" s="62"/>
      <c r="BM146" s="62"/>
      <c r="BN146" s="62"/>
      <c r="BO146" s="39"/>
      <c r="BS146" s="48"/>
    </row>
    <row r="147" spans="1:71" ht="63">
      <c r="A147" s="15"/>
      <c r="B147" s="82" t="s">
        <v>400</v>
      </c>
      <c r="C147" s="95"/>
      <c r="D147" s="10"/>
      <c r="E147" s="78"/>
      <c r="F147" s="79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29"/>
      <c r="AI147" s="139"/>
      <c r="AJ147" s="139"/>
      <c r="AK147" s="139"/>
      <c r="AL147" s="137"/>
      <c r="AM147" s="137"/>
      <c r="AN147" s="137"/>
      <c r="AO147" s="137"/>
      <c r="AP147" s="137"/>
      <c r="AQ147" s="137"/>
      <c r="AR147" s="129"/>
      <c r="AS147" s="129"/>
      <c r="AT147" s="129"/>
      <c r="AU147" s="129"/>
      <c r="AV147" s="129"/>
      <c r="AW147" s="129"/>
      <c r="AX147" s="129"/>
      <c r="AY147" s="137"/>
      <c r="AZ147" s="129"/>
      <c r="BA147" s="137"/>
      <c r="BB147" s="137"/>
      <c r="BC147" s="137"/>
      <c r="BD147" s="137"/>
      <c r="BE147" s="137"/>
      <c r="BF147" s="137"/>
      <c r="BG147" s="137">
        <f>BJ79</f>
        <v>1395.237579674352</v>
      </c>
      <c r="BH147" s="150">
        <f>BH143+BG147</f>
        <v>3163.5894612378975</v>
      </c>
      <c r="BI147" s="66"/>
      <c r="BJ147" s="150">
        <f>BJ143+BG147</f>
        <v>3316.0946669416317</v>
      </c>
      <c r="BK147" s="155">
        <f>BK143+BG147</f>
        <v>3103.966018958497</v>
      </c>
      <c r="BL147" s="62"/>
      <c r="BM147" s="62"/>
      <c r="BN147" s="62"/>
      <c r="BO147" s="39"/>
      <c r="BS147" s="48"/>
    </row>
    <row r="148" spans="1:71" ht="137.25" customHeight="1">
      <c r="A148" s="15" t="s">
        <v>447</v>
      </c>
      <c r="B148" s="27" t="s">
        <v>452</v>
      </c>
      <c r="C148" s="27"/>
      <c r="D148" s="27"/>
      <c r="E148" s="27"/>
      <c r="F148" s="10"/>
      <c r="G148" s="78"/>
      <c r="H148" s="79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129"/>
      <c r="Y148" s="129"/>
      <c r="Z148" s="137"/>
      <c r="AA148" s="137"/>
      <c r="AB148" s="137"/>
      <c r="AC148" s="137"/>
      <c r="AD148" s="137"/>
      <c r="AE148" s="137"/>
      <c r="AF148" s="137"/>
      <c r="AG148" s="137"/>
      <c r="AH148" s="138"/>
      <c r="AI148" s="106"/>
      <c r="AJ148" s="129"/>
      <c r="AK148" s="139"/>
      <c r="AL148" s="140"/>
      <c r="AM148" s="139"/>
      <c r="AN148" s="137"/>
      <c r="AO148" s="137"/>
      <c r="AP148" s="106"/>
      <c r="AQ148" s="106"/>
      <c r="AR148" s="137"/>
      <c r="AS148" s="137"/>
      <c r="AT148" s="106"/>
      <c r="AU148" s="106"/>
      <c r="AV148" s="106"/>
      <c r="AW148" s="106"/>
      <c r="AX148" s="106"/>
      <c r="AY148" s="106"/>
      <c r="AZ148" s="129"/>
      <c r="BA148" s="137"/>
      <c r="BB148" s="137"/>
      <c r="BC148" s="137"/>
      <c r="BD148" s="137"/>
      <c r="BE148" s="137"/>
      <c r="BF148" s="137"/>
      <c r="BG148" s="137"/>
      <c r="BH148" s="151"/>
      <c r="BI148" s="137"/>
      <c r="BJ148" s="151"/>
      <c r="BK148" s="155"/>
      <c r="BL148" s="62"/>
      <c r="BM148" s="62"/>
      <c r="BN148" s="62"/>
      <c r="BO148" s="39"/>
      <c r="BS148" s="48"/>
    </row>
    <row r="149" spans="1:71" ht="78.75">
      <c r="A149" s="74"/>
      <c r="B149" s="27" t="s">
        <v>390</v>
      </c>
      <c r="C149" s="27" t="s">
        <v>453</v>
      </c>
      <c r="D149" s="10" t="s">
        <v>391</v>
      </c>
      <c r="E149" s="78">
        <v>6</v>
      </c>
      <c r="F149" s="79">
        <v>79.959999999999994</v>
      </c>
      <c r="G149" s="72">
        <v>8</v>
      </c>
      <c r="H149" s="72">
        <f>F149*G149/100</f>
        <v>6.3967999999999998</v>
      </c>
      <c r="I149" s="72"/>
      <c r="J149" s="72">
        <f>F149*I149/100</f>
        <v>0</v>
      </c>
      <c r="K149" s="72">
        <v>0</v>
      </c>
      <c r="L149" s="72">
        <f>F149*K149/100</f>
        <v>0</v>
      </c>
      <c r="M149" s="72">
        <v>0</v>
      </c>
      <c r="N149" s="72">
        <v>0</v>
      </c>
      <c r="O149" s="72">
        <f>F149*N149/100</f>
        <v>0</v>
      </c>
      <c r="P149" s="72"/>
      <c r="Q149" s="72"/>
      <c r="R149" s="72">
        <v>40</v>
      </c>
      <c r="S149" s="72">
        <f>(F149+H149+J149+L149+M149+O149+Q149)*R149/100</f>
        <v>34.542720000000003</v>
      </c>
      <c r="T149" s="72">
        <v>30</v>
      </c>
      <c r="U149" s="72">
        <f>(F149+H149+J149+L149+M149+O149+Q149+S149)*30/100</f>
        <v>36.269855999999997</v>
      </c>
      <c r="V149" s="72">
        <v>30</v>
      </c>
      <c r="W149" s="72">
        <f>U149</f>
        <v>36.269855999999997</v>
      </c>
      <c r="X149" s="137">
        <f>F149+H149+J149+L149+M149+O149+Q149+S149+U149+W149</f>
        <v>193.439232</v>
      </c>
      <c r="Y149" s="137">
        <f>3000/1970</f>
        <v>1.5228426395939085</v>
      </c>
      <c r="Z149" s="137">
        <f>(X149-S149*1.6)*0.06</f>
        <v>8.2902528000000011</v>
      </c>
      <c r="AA149" s="137">
        <f>X149*0.07</f>
        <v>13.540746240000001</v>
      </c>
      <c r="AB149" s="137">
        <f>X149+Y149+Z149+AA149</f>
        <v>216.7930736795939</v>
      </c>
      <c r="AC149" s="106">
        <f>AB149*0.302</f>
        <v>65.471508251237353</v>
      </c>
      <c r="AD149" s="106">
        <f>AB149*0.098</f>
        <v>21.245721220600203</v>
      </c>
      <c r="AE149" s="106">
        <f>AB149*1.0133*0.05</f>
        <v>10.983821077976627</v>
      </c>
      <c r="AF149" s="138" t="s">
        <v>392</v>
      </c>
      <c r="AG149" s="129">
        <v>32.83</v>
      </c>
      <c r="AH149" s="129">
        <v>8.6</v>
      </c>
      <c r="AI149" s="129">
        <v>8.6</v>
      </c>
      <c r="AJ149" s="129">
        <f>AI149*1.07</f>
        <v>9.202</v>
      </c>
      <c r="AK149" s="129">
        <f>AI149*1.15</f>
        <v>9.8899999999999988</v>
      </c>
      <c r="AL149" s="137">
        <f>(AI149*7+AJ149*2+AK149*3)/12</f>
        <v>9.0228333333333328</v>
      </c>
      <c r="AM149" s="137">
        <f>AG149*AL149</f>
        <v>296.2196183333333</v>
      </c>
      <c r="AN149" s="106"/>
      <c r="AO149" s="106"/>
      <c r="AP149" s="137"/>
      <c r="AQ149" s="137"/>
      <c r="AR149" s="106">
        <f>AM149+AQ149</f>
        <v>296.2196183333333</v>
      </c>
      <c r="AS149" s="106" t="s">
        <v>393</v>
      </c>
      <c r="AT149" s="106">
        <v>131.25</v>
      </c>
      <c r="AU149" s="137">
        <v>4.5</v>
      </c>
      <c r="AV149" s="137">
        <f>AT149*AL149*AU149/100</f>
        <v>53.291109375000005</v>
      </c>
      <c r="AW149" s="106"/>
      <c r="AX149" s="129"/>
      <c r="AY149" s="137"/>
      <c r="AZ149" s="129"/>
      <c r="BA149" s="137"/>
      <c r="BB149" s="137"/>
      <c r="BC149" s="106">
        <v>48.62</v>
      </c>
      <c r="BD149" s="106">
        <v>17.510000000000002</v>
      </c>
      <c r="BE149" s="129">
        <v>4636.03</v>
      </c>
      <c r="BF149" s="137">
        <f>5.19*7</f>
        <v>36.330000000000005</v>
      </c>
      <c r="BG149" s="137"/>
      <c r="BH149" s="151">
        <f>AB149+AB150+AB151+AB152+AC149+AC150+AC151+AC152+AD149+AD150+AD151+AR149+AR150+AV149+AV150+BC149+BD149+BE149+BF149</f>
        <v>7140.8875691016729</v>
      </c>
      <c r="BI149" s="66">
        <f>(AB149+AB150+AB151)*0.2</f>
        <v>241.91456303951273</v>
      </c>
      <c r="BJ149" s="150">
        <f>BH149+BI149+AE149+AE150+AE151</f>
        <v>7444.0851388231695</v>
      </c>
      <c r="BK149" s="155">
        <f>BH149-AD149-AD150-AD151</f>
        <v>7022.3494332123119</v>
      </c>
      <c r="BL149" s="62"/>
      <c r="BM149" s="62"/>
      <c r="BN149" s="62"/>
      <c r="BO149" s="39"/>
      <c r="BS149" s="48"/>
    </row>
    <row r="150" spans="1:71" ht="47.25">
      <c r="A150" s="74"/>
      <c r="B150" s="27"/>
      <c r="C150" s="27"/>
      <c r="D150" s="10" t="s">
        <v>394</v>
      </c>
      <c r="E150" s="78">
        <v>5</v>
      </c>
      <c r="F150" s="79">
        <v>77.14</v>
      </c>
      <c r="G150" s="72">
        <v>8</v>
      </c>
      <c r="H150" s="72">
        <f>F150*G150/100</f>
        <v>6.1711999999999998</v>
      </c>
      <c r="I150" s="72"/>
      <c r="J150" s="72">
        <f>F150*I150/100</f>
        <v>0</v>
      </c>
      <c r="K150" s="72">
        <v>0</v>
      </c>
      <c r="L150" s="72">
        <f>F150*K150/100</f>
        <v>0</v>
      </c>
      <c r="M150" s="72">
        <v>0</v>
      </c>
      <c r="N150" s="72">
        <v>0</v>
      </c>
      <c r="O150" s="72">
        <f>F150*N150/100</f>
        <v>0</v>
      </c>
      <c r="P150" s="72"/>
      <c r="Q150" s="72"/>
      <c r="R150" s="72">
        <v>40</v>
      </c>
      <c r="S150" s="72">
        <f>(F150+H150+J150+L150+M150+O150+Q150)*R150/100</f>
        <v>33.324480000000001</v>
      </c>
      <c r="T150" s="72">
        <v>30</v>
      </c>
      <c r="U150" s="72">
        <f>(F150+H150+J150+L150+M150+O150+Q150+S150)*30/100</f>
        <v>34.990704000000001</v>
      </c>
      <c r="V150" s="72">
        <v>30</v>
      </c>
      <c r="W150" s="72">
        <f>U150</f>
        <v>34.990704000000001</v>
      </c>
      <c r="X150" s="137">
        <f>(F150+H150+J150+L150+M150+O150+Q150+S150+U150+W150)*2</f>
        <v>373.23417599999999</v>
      </c>
      <c r="Y150" s="137">
        <f>3000/1970*2</f>
        <v>3.0456852791878171</v>
      </c>
      <c r="Z150" s="137">
        <f>(X150-S150*1.6*2)*0.06</f>
        <v>15.995750399999997</v>
      </c>
      <c r="AA150" s="137">
        <f>X150*0.07</f>
        <v>26.126392320000001</v>
      </c>
      <c r="AB150" s="137">
        <f>X150+Y150+Z150+AA150</f>
        <v>418.4020039991878</v>
      </c>
      <c r="AC150" s="106">
        <f>AB150*0.302</f>
        <v>126.35740520775471</v>
      </c>
      <c r="AD150" s="106">
        <f>AB150*0.098</f>
        <v>41.003396391920404</v>
      </c>
      <c r="AE150" s="106">
        <f>AB150*1.0133*0.05</f>
        <v>21.198337532618851</v>
      </c>
      <c r="AF150" s="138" t="s">
        <v>98</v>
      </c>
      <c r="AG150" s="106">
        <v>30.04</v>
      </c>
      <c r="AH150" s="129">
        <v>1.5</v>
      </c>
      <c r="AI150" s="139">
        <v>1.5</v>
      </c>
      <c r="AJ150" s="140">
        <v>1.605</v>
      </c>
      <c r="AK150" s="139">
        <v>1.7250000000000001</v>
      </c>
      <c r="AL150" s="137">
        <f>(AI150*7+AJ150*2+AK150*3)/12</f>
        <v>1.5737500000000002</v>
      </c>
      <c r="AM150" s="137">
        <f>AG150*AL150</f>
        <v>47.275450000000006</v>
      </c>
      <c r="AN150" s="137"/>
      <c r="AO150" s="137"/>
      <c r="AP150" s="137"/>
      <c r="AQ150" s="137"/>
      <c r="AR150" s="106">
        <f>AM150+AQ150</f>
        <v>47.275450000000006</v>
      </c>
      <c r="AS150" s="137" t="s">
        <v>189</v>
      </c>
      <c r="AT150" s="137">
        <v>50.1</v>
      </c>
      <c r="AU150" s="137">
        <v>2.4</v>
      </c>
      <c r="AV150" s="137">
        <f>AT150*AL150*AU150/100</f>
        <v>1.8922770000000002</v>
      </c>
      <c r="AW150" s="106"/>
      <c r="AX150" s="129"/>
      <c r="AY150" s="137"/>
      <c r="AZ150" s="129"/>
      <c r="BA150" s="137"/>
      <c r="BB150" s="137"/>
      <c r="BC150" s="137"/>
      <c r="BD150" s="137"/>
      <c r="BE150" s="137"/>
      <c r="BF150" s="137"/>
      <c r="BG150" s="137"/>
      <c r="BH150" s="151"/>
      <c r="BI150" s="66"/>
      <c r="BJ150" s="150"/>
      <c r="BK150" s="155"/>
      <c r="BL150" s="62"/>
      <c r="BM150" s="62"/>
      <c r="BN150" s="62"/>
      <c r="BO150" s="39"/>
      <c r="BS150" s="48"/>
    </row>
    <row r="151" spans="1:71" ht="31.5">
      <c r="A151" s="40"/>
      <c r="B151" s="27"/>
      <c r="C151" s="27"/>
      <c r="D151" s="10" t="s">
        <v>395</v>
      </c>
      <c r="E151" s="78">
        <v>4</v>
      </c>
      <c r="F151" s="79">
        <v>70.55</v>
      </c>
      <c r="G151" s="72">
        <v>8</v>
      </c>
      <c r="H151" s="72">
        <f>F151*G151/100</f>
        <v>5.6440000000000001</v>
      </c>
      <c r="I151" s="72"/>
      <c r="J151" s="72">
        <f>F151*I151/100</f>
        <v>0</v>
      </c>
      <c r="K151" s="72">
        <v>0</v>
      </c>
      <c r="L151" s="72">
        <f>F151*K151/100</f>
        <v>0</v>
      </c>
      <c r="M151" s="72">
        <v>0</v>
      </c>
      <c r="N151" s="72">
        <v>0</v>
      </c>
      <c r="O151" s="72">
        <f>F151*N151/100</f>
        <v>0</v>
      </c>
      <c r="P151" s="72"/>
      <c r="Q151" s="72"/>
      <c r="R151" s="72">
        <v>40</v>
      </c>
      <c r="S151" s="72">
        <f>(F151+H151+J151+L151+M151+O151+Q151)*R151/100</f>
        <v>30.477600000000002</v>
      </c>
      <c r="T151" s="72">
        <v>30</v>
      </c>
      <c r="U151" s="72">
        <f>(F151+H151+J151+L151+M151+O151+Q151+S151)*30/100</f>
        <v>32.001480000000001</v>
      </c>
      <c r="V151" s="72">
        <v>30</v>
      </c>
      <c r="W151" s="72">
        <f>U151</f>
        <v>32.001480000000001</v>
      </c>
      <c r="X151" s="137">
        <f>(F151+H151+J151+L151+M151+O151+Q151+S151+U151+W151)*3</f>
        <v>512.02368000000013</v>
      </c>
      <c r="Y151" s="137">
        <f>3000/1970*3</f>
        <v>4.5685279187817258</v>
      </c>
      <c r="Z151" s="137">
        <f>(X151-S151*1.6*3)*0.06</f>
        <v>21.943872000000006</v>
      </c>
      <c r="AA151" s="137">
        <f>X151*0.07</f>
        <v>35.841657600000012</v>
      </c>
      <c r="AB151" s="137">
        <f>X151+Y151+Z151+AA151</f>
        <v>574.37773751878183</v>
      </c>
      <c r="AC151" s="106">
        <f>AB151*0.302</f>
        <v>173.46207673067209</v>
      </c>
      <c r="AD151" s="106">
        <f>AB151*0.098</f>
        <v>56.289018276840622</v>
      </c>
      <c r="AE151" s="106">
        <f>AB151*1.0133*0.05</f>
        <v>29.100848071389084</v>
      </c>
      <c r="AF151" s="138"/>
      <c r="AG151" s="106"/>
      <c r="AH151" s="129"/>
      <c r="AI151" s="139"/>
      <c r="AJ151" s="140"/>
      <c r="AK151" s="139"/>
      <c r="AL151" s="137"/>
      <c r="AM151" s="137"/>
      <c r="AN151" s="106"/>
      <c r="AO151" s="106"/>
      <c r="AP151" s="137"/>
      <c r="AQ151" s="137"/>
      <c r="AR151" s="106"/>
      <c r="AS151" s="106"/>
      <c r="AT151" s="106"/>
      <c r="AU151" s="106"/>
      <c r="AV151" s="106"/>
      <c r="AW151" s="106"/>
      <c r="AX151" s="129"/>
      <c r="AY151" s="137"/>
      <c r="AZ151" s="129"/>
      <c r="BA151" s="137"/>
      <c r="BB151" s="137"/>
      <c r="BC151" s="137"/>
      <c r="BD151" s="137"/>
      <c r="BE151" s="137"/>
      <c r="BF151" s="137"/>
      <c r="BG151" s="137"/>
      <c r="BH151" s="151"/>
      <c r="BI151" s="66"/>
      <c r="BJ151" s="150"/>
      <c r="BK151" s="155"/>
      <c r="BL151" s="62"/>
      <c r="BM151" s="62"/>
      <c r="BN151" s="62"/>
      <c r="BO151" s="39"/>
      <c r="BS151" s="48"/>
    </row>
    <row r="152" spans="1:71" ht="47.25">
      <c r="A152" s="74"/>
      <c r="B152" s="27"/>
      <c r="C152" s="27"/>
      <c r="D152" s="10" t="s">
        <v>396</v>
      </c>
      <c r="E152" s="78"/>
      <c r="F152" s="79">
        <v>95</v>
      </c>
      <c r="G152" s="72">
        <v>0</v>
      </c>
      <c r="H152" s="72">
        <f>F152*G152/100</f>
        <v>0</v>
      </c>
      <c r="I152" s="72"/>
      <c r="J152" s="72">
        <f>F152*I152/100</f>
        <v>0</v>
      </c>
      <c r="K152" s="72">
        <v>0</v>
      </c>
      <c r="L152" s="72">
        <f>F152*K152/100</f>
        <v>0</v>
      </c>
      <c r="M152" s="72">
        <v>0</v>
      </c>
      <c r="N152" s="72">
        <v>0</v>
      </c>
      <c r="O152" s="72">
        <f>F152*N152/100</f>
        <v>0</v>
      </c>
      <c r="P152" s="72"/>
      <c r="Q152" s="72"/>
      <c r="R152" s="72">
        <v>40</v>
      </c>
      <c r="S152" s="72">
        <f>(F152+H152+J152+L152+M152+O152+Q152)*R152/100</f>
        <v>38</v>
      </c>
      <c r="T152" s="72">
        <v>30</v>
      </c>
      <c r="U152" s="72">
        <f>(F152+H152+J152+L152+M152+O152+Q152+S152)*30/100</f>
        <v>39.9</v>
      </c>
      <c r="V152" s="72">
        <v>30</v>
      </c>
      <c r="W152" s="72">
        <f>U152</f>
        <v>39.9</v>
      </c>
      <c r="X152" s="137">
        <f>F152+H152+J152+L152+M152+O152+Q152+S152+U152+W152</f>
        <v>212.8</v>
      </c>
      <c r="Y152" s="137">
        <f>3000/1970</f>
        <v>1.5228426395939085</v>
      </c>
      <c r="Z152" s="137">
        <f>(X152-S152*1.6)*0.06</f>
        <v>9.1199999999999992</v>
      </c>
      <c r="AA152" s="137">
        <f>X152*0.07</f>
        <v>14.896000000000003</v>
      </c>
      <c r="AB152" s="137">
        <f>X152+Y152+Z152+AA152</f>
        <v>238.33884263959393</v>
      </c>
      <c r="AC152" s="106">
        <f>AB152*0.302</f>
        <v>71.978330477157371</v>
      </c>
      <c r="AD152" s="137"/>
      <c r="AE152" s="137"/>
      <c r="AF152" s="138"/>
      <c r="AG152" s="106"/>
      <c r="AH152" s="129"/>
      <c r="AI152" s="139"/>
      <c r="AJ152" s="140"/>
      <c r="AK152" s="139"/>
      <c r="AL152" s="137"/>
      <c r="AM152" s="137"/>
      <c r="AN152" s="106"/>
      <c r="AO152" s="106"/>
      <c r="AP152" s="137"/>
      <c r="AQ152" s="137"/>
      <c r="AR152" s="106"/>
      <c r="AS152" s="106"/>
      <c r="AT152" s="106"/>
      <c r="AU152" s="106"/>
      <c r="AV152" s="106"/>
      <c r="AW152" s="106"/>
      <c r="AX152" s="129"/>
      <c r="AY152" s="137"/>
      <c r="AZ152" s="129"/>
      <c r="BA152" s="137"/>
      <c r="BB152" s="137"/>
      <c r="BC152" s="137"/>
      <c r="BD152" s="137"/>
      <c r="BE152" s="137"/>
      <c r="BF152" s="137"/>
      <c r="BG152" s="137"/>
      <c r="BH152" s="151"/>
      <c r="BI152" s="66"/>
      <c r="BJ152" s="150"/>
      <c r="BK152" s="155"/>
      <c r="BL152" s="62"/>
      <c r="BM152" s="62"/>
      <c r="BN152" s="62"/>
      <c r="BO152" s="39"/>
      <c r="BS152" s="48"/>
    </row>
    <row r="153" spans="1:71" ht="101.25" customHeight="1" thickBot="1">
      <c r="A153" s="75"/>
      <c r="B153" s="76" t="s">
        <v>454</v>
      </c>
      <c r="C153" s="17"/>
      <c r="D153" s="17"/>
      <c r="E153" s="17"/>
      <c r="F153" s="108"/>
      <c r="G153" s="11"/>
      <c r="H153" s="69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70"/>
      <c r="Y153" s="70"/>
      <c r="Z153" s="70"/>
      <c r="AA153" s="70"/>
      <c r="AB153" s="70"/>
      <c r="AC153" s="70"/>
      <c r="AD153" s="141"/>
      <c r="AE153" s="141"/>
      <c r="AF153" s="70"/>
      <c r="AG153" s="141"/>
      <c r="AH153" s="142"/>
      <c r="AI153" s="71"/>
      <c r="AJ153" s="71"/>
      <c r="AK153" s="71"/>
      <c r="AL153" s="70"/>
      <c r="AM153" s="70"/>
      <c r="AN153" s="70"/>
      <c r="AO153" s="70"/>
      <c r="AP153" s="70"/>
      <c r="AQ153" s="70"/>
      <c r="AR153" s="70"/>
      <c r="AS153" s="108"/>
      <c r="AT153" s="108"/>
      <c r="AU153" s="108"/>
      <c r="AV153" s="108"/>
      <c r="AW153" s="143"/>
      <c r="AX153" s="143"/>
      <c r="AY153" s="143"/>
      <c r="AZ153" s="141"/>
      <c r="BA153" s="108"/>
      <c r="BB153" s="143"/>
      <c r="BC153" s="141"/>
      <c r="BD153" s="141"/>
      <c r="BE153" s="70"/>
      <c r="BF153" s="141"/>
      <c r="BG153" s="141">
        <v>2246.15</v>
      </c>
      <c r="BH153" s="152">
        <f>BH149+BG153</f>
        <v>9387.0375691016725</v>
      </c>
      <c r="BI153" s="70"/>
      <c r="BJ153" s="152">
        <f>BJ149+BG153</f>
        <v>9690.2351388231691</v>
      </c>
      <c r="BK153" s="156">
        <f>BK149+BG153</f>
        <v>9268.4994332123115</v>
      </c>
      <c r="BL153" s="62"/>
      <c r="BM153" s="62"/>
      <c r="BN153" s="62"/>
      <c r="BO153" s="39"/>
      <c r="BS153" s="48"/>
    </row>
    <row r="154" spans="1:71" ht="33" customHeight="1">
      <c r="A154" s="91"/>
      <c r="B154" s="109"/>
      <c r="C154" s="8"/>
      <c r="D154" s="8"/>
      <c r="E154" s="8"/>
      <c r="F154" s="110"/>
      <c r="G154" s="28"/>
      <c r="H154" s="42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42"/>
      <c r="Y154" s="42"/>
      <c r="Z154" s="42"/>
      <c r="AA154" s="42"/>
      <c r="AB154" s="42"/>
      <c r="AC154" s="111"/>
      <c r="AD154" s="112"/>
      <c r="AE154" s="62"/>
      <c r="AF154" s="28"/>
      <c r="AG154" s="112"/>
      <c r="AH154" s="113"/>
      <c r="AI154" s="114"/>
      <c r="AJ154" s="114"/>
      <c r="AK154" s="114"/>
      <c r="AL154" s="115"/>
      <c r="AM154" s="42"/>
      <c r="AN154" s="42"/>
      <c r="AO154" s="42"/>
      <c r="AP154" s="42"/>
      <c r="AQ154" s="42"/>
      <c r="AR154" s="42"/>
      <c r="AS154" s="116"/>
      <c r="AT154" s="117"/>
      <c r="AU154" s="116"/>
      <c r="AV154" s="117"/>
      <c r="AW154" s="118"/>
      <c r="AX154" s="118"/>
      <c r="AY154" s="118"/>
      <c r="AZ154" s="112"/>
      <c r="BA154" s="116"/>
      <c r="BB154" s="119"/>
      <c r="BC154" s="62"/>
      <c r="BD154" s="62"/>
      <c r="BE154" s="42"/>
      <c r="BF154" s="62"/>
      <c r="BG154" s="62"/>
      <c r="BH154" s="42"/>
      <c r="BI154" s="42"/>
      <c r="BJ154" s="42"/>
      <c r="BK154" s="42"/>
      <c r="BL154" s="62"/>
      <c r="BM154" s="62"/>
      <c r="BN154" s="62"/>
      <c r="BO154" s="39"/>
      <c r="BS154" s="48"/>
    </row>
    <row r="155" spans="1:71" ht="32.25" customHeight="1">
      <c r="A155" s="91"/>
      <c r="B155" s="109"/>
      <c r="C155" s="8"/>
      <c r="D155" s="8"/>
      <c r="E155" s="8"/>
      <c r="F155" s="110"/>
      <c r="G155" s="28"/>
      <c r="H155" s="42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42"/>
      <c r="Y155" s="42"/>
      <c r="Z155" s="42"/>
      <c r="AA155" s="42"/>
      <c r="AB155" s="42"/>
      <c r="AC155" s="111"/>
      <c r="AD155" s="112"/>
      <c r="AE155" s="62"/>
      <c r="AF155" s="28"/>
      <c r="AG155" s="112"/>
      <c r="AH155" s="113"/>
      <c r="AI155" s="114"/>
      <c r="AJ155" s="114"/>
      <c r="AK155" s="114"/>
      <c r="AL155" s="115"/>
      <c r="AM155" s="42"/>
      <c r="AN155" s="42"/>
      <c r="AO155" s="42"/>
      <c r="AP155" s="42"/>
      <c r="AQ155" s="42"/>
      <c r="AR155" s="42"/>
      <c r="AS155" s="116"/>
      <c r="AT155" s="117"/>
      <c r="AU155" s="116"/>
      <c r="AV155" s="117"/>
      <c r="AW155" s="118"/>
      <c r="AX155" s="118"/>
      <c r="AY155" s="118"/>
      <c r="AZ155" s="112"/>
      <c r="BA155" s="116"/>
      <c r="BB155" s="119"/>
      <c r="BC155" s="62"/>
      <c r="BD155" s="62"/>
      <c r="BE155" s="42"/>
      <c r="BF155" s="62"/>
      <c r="BG155" s="62"/>
      <c r="BH155" s="42"/>
      <c r="BI155" s="42"/>
      <c r="BJ155" s="42"/>
      <c r="BK155" s="42"/>
      <c r="BL155" s="62"/>
      <c r="BM155" s="62"/>
      <c r="BN155" s="62"/>
      <c r="BO155" s="39"/>
      <c r="BS155" s="48"/>
    </row>
    <row r="156" spans="1:71" s="43" customFormat="1" ht="15.75">
      <c r="A156" s="7" t="s">
        <v>235</v>
      </c>
      <c r="U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 t="s">
        <v>236</v>
      </c>
      <c r="AN156" s="7"/>
      <c r="AO156" s="7"/>
      <c r="AP156" s="7"/>
      <c r="AQ156" s="7"/>
      <c r="AR156" s="44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44"/>
      <c r="BI156" s="7"/>
      <c r="BJ156" s="7"/>
      <c r="BK156" s="30"/>
      <c r="BL156" s="30"/>
      <c r="BM156" s="30"/>
      <c r="BN156" s="30"/>
      <c r="BO156" s="39"/>
    </row>
    <row r="157" spans="1:71" s="43" customFormat="1" ht="15.75">
      <c r="A157" s="7"/>
      <c r="U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44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44"/>
      <c r="BI157" s="7"/>
      <c r="BJ157" s="7"/>
      <c r="BK157" s="30"/>
      <c r="BL157" s="30"/>
      <c r="BM157" s="30"/>
      <c r="BN157" s="30"/>
      <c r="BO157" s="39"/>
    </row>
    <row r="158" spans="1:71" ht="15.75">
      <c r="A158" s="28"/>
      <c r="U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42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42"/>
      <c r="BI158" s="28"/>
      <c r="BJ158" s="28"/>
      <c r="BK158" s="30"/>
      <c r="BL158" s="30"/>
      <c r="BM158" s="30"/>
      <c r="BN158" s="30"/>
      <c r="BO158" s="39"/>
    </row>
    <row r="159" spans="1:71" ht="15.75">
      <c r="A159" s="30" t="s">
        <v>234</v>
      </c>
      <c r="U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 t="s">
        <v>9</v>
      </c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9"/>
    </row>
    <row r="160" spans="1:71" ht="15.75">
      <c r="A160" s="34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9"/>
    </row>
    <row r="161" spans="1:67" ht="15.75">
      <c r="A161" s="34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9"/>
    </row>
    <row r="162" spans="1:67" ht="15.75">
      <c r="A162" s="34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9"/>
    </row>
    <row r="163" spans="1:67" ht="15.75">
      <c r="A163" s="34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9"/>
    </row>
    <row r="164" spans="1:67" ht="15.75">
      <c r="A164" s="34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9"/>
    </row>
    <row r="165" spans="1:67" ht="15.75">
      <c r="A165" s="34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9"/>
    </row>
    <row r="166" spans="1:67" ht="15.75">
      <c r="A166" s="34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9"/>
    </row>
    <row r="167" spans="1:67" ht="15.75">
      <c r="A167" s="34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9"/>
    </row>
    <row r="168" spans="1:67" ht="15.75">
      <c r="A168" s="34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9"/>
    </row>
    <row r="169" spans="1:67" ht="15.75">
      <c r="A169" s="34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9"/>
    </row>
    <row r="170" spans="1:67" ht="15.75">
      <c r="A170" s="34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9"/>
    </row>
    <row r="171" spans="1:67" ht="15.75">
      <c r="A171" s="34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9"/>
    </row>
    <row r="172" spans="1:67" ht="15.75">
      <c r="A172" s="34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9"/>
    </row>
    <row r="173" spans="1:67" ht="15.75">
      <c r="A173" s="34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9"/>
    </row>
    <row r="174" spans="1:67" ht="15.75">
      <c r="A174" s="34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9"/>
    </row>
    <row r="175" spans="1:67" ht="15.75">
      <c r="A175" s="34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9"/>
    </row>
    <row r="176" spans="1:67" ht="15.75">
      <c r="A176" s="34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9"/>
    </row>
    <row r="177" spans="1:67" ht="15.75">
      <c r="A177" s="34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9"/>
    </row>
    <row r="178" spans="1:67" ht="15.75">
      <c r="A178" s="34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9"/>
    </row>
    <row r="179" spans="1:67" ht="15.75">
      <c r="A179" s="34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9"/>
    </row>
    <row r="180" spans="1:67" ht="15.75">
      <c r="A180" s="34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9"/>
    </row>
    <row r="181" spans="1:67" ht="15.75">
      <c r="A181" s="34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9"/>
    </row>
    <row r="182" spans="1:67" ht="15.75">
      <c r="A182" s="34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9"/>
    </row>
    <row r="183" spans="1:67" ht="15.75">
      <c r="A183" s="34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9"/>
    </row>
    <row r="184" spans="1:67" ht="15.75">
      <c r="A184" s="34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9"/>
    </row>
    <row r="185" spans="1:67" ht="15.75">
      <c r="A185" s="34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9"/>
    </row>
    <row r="186" spans="1:67" ht="15.75">
      <c r="A186" s="34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9"/>
    </row>
    <row r="187" spans="1:67" ht="15.75">
      <c r="A187" s="34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9"/>
    </row>
    <row r="188" spans="1:67" ht="15.75">
      <c r="A188" s="34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9"/>
    </row>
    <row r="189" spans="1:67" ht="15.75">
      <c r="A189" s="34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9"/>
    </row>
    <row r="190" spans="1:67" ht="15.75">
      <c r="A190" s="34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9"/>
    </row>
    <row r="191" spans="1:67" ht="15.75">
      <c r="A191" s="34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9"/>
    </row>
    <row r="192" spans="1:67" ht="15.75">
      <c r="A192" s="34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9"/>
    </row>
    <row r="193" spans="1:67" ht="15.75">
      <c r="A193" s="34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9"/>
    </row>
    <row r="194" spans="1:67" ht="15.75">
      <c r="A194" s="34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9"/>
    </row>
    <row r="195" spans="1:67" ht="15.75">
      <c r="A195" s="34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9"/>
    </row>
    <row r="196" spans="1:67" ht="15.75">
      <c r="A196" s="34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9"/>
    </row>
    <row r="197" spans="1:67" ht="15.75">
      <c r="A197" s="34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9"/>
    </row>
    <row r="198" spans="1:67" ht="15.75">
      <c r="A198" s="34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</row>
    <row r="199" spans="1:67" ht="15.75">
      <c r="A199" s="34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</row>
    <row r="200" spans="1:67" ht="15.75">
      <c r="A200" s="34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</row>
    <row r="201" spans="1:67" ht="15.75">
      <c r="A201" s="34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</row>
    <row r="202" spans="1:67" ht="15.7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</row>
    <row r="203" spans="1:67" ht="15.7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</row>
    <row r="204" spans="1:67" ht="15.75">
      <c r="A204" s="34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</row>
    <row r="205" spans="1:67" ht="15.75">
      <c r="A205" s="34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</row>
    <row r="206" spans="1:67" ht="15.75">
      <c r="A206" s="34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</row>
    <row r="207" spans="1:67" ht="15.75">
      <c r="A207" s="34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</row>
    <row r="208" spans="1:67" ht="15.75">
      <c r="A208" s="34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</row>
    <row r="209" spans="1:66" ht="15.75">
      <c r="A209" s="34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</row>
    <row r="210" spans="1:66" ht="15.75">
      <c r="A210" s="34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</row>
    <row r="211" spans="1:66" ht="15.75">
      <c r="A211" s="34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</row>
    <row r="212" spans="1:66" ht="15.7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</row>
    <row r="213" spans="1:66" ht="15.75">
      <c r="A213" s="34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</row>
    <row r="214" spans="1:66" ht="15.75">
      <c r="A214" s="34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</row>
    <row r="215" spans="1:66" ht="15.75">
      <c r="A215" s="34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</row>
    <row r="216" spans="1:66" ht="15.75">
      <c r="A216" s="34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</row>
    <row r="217" spans="1:66" ht="15.75">
      <c r="A217" s="34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</row>
    <row r="218" spans="1:66" ht="15.75">
      <c r="A218" s="34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</row>
    <row r="219" spans="1:66" ht="15.75">
      <c r="A219" s="3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</row>
    <row r="220" spans="1:66" ht="15.75">
      <c r="A220" s="34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</row>
    <row r="221" spans="1:66" ht="15.75">
      <c r="A221" s="34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</row>
    <row r="222" spans="1:66" ht="15.75">
      <c r="A222" s="34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</row>
    <row r="223" spans="1:66" ht="15.7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</row>
    <row r="224" spans="1:66" ht="15.7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</row>
    <row r="225" spans="1:66" ht="15.75">
      <c r="A225" s="3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</row>
    <row r="226" spans="1:66" ht="15.75">
      <c r="A226" s="34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</row>
    <row r="227" spans="1:66" ht="15.75">
      <c r="A227" s="34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</row>
    <row r="228" spans="1:66" ht="15.75">
      <c r="A228" s="34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</row>
    <row r="229" spans="1:66" ht="15.75">
      <c r="A229" s="34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</row>
    <row r="230" spans="1:66" ht="15.75">
      <c r="A230" s="34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</row>
    <row r="231" spans="1:66" ht="15.75">
      <c r="A231" s="34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</row>
    <row r="232" spans="1:66" ht="15.75">
      <c r="A232" s="34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</row>
    <row r="233" spans="1:66" ht="15.7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</row>
    <row r="234" spans="1:66" ht="15.7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</row>
    <row r="235" spans="1:66" ht="15.75">
      <c r="A235" s="34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</row>
    <row r="236" spans="1:66" ht="15.75">
      <c r="A236" s="34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</row>
    <row r="237" spans="1:66" ht="15.75">
      <c r="A237" s="34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</row>
    <row r="238" spans="1:66" ht="15.75">
      <c r="A238" s="34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</row>
    <row r="239" spans="1:66" ht="15.75">
      <c r="A239" s="34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</row>
    <row r="240" spans="1:66" ht="15.75">
      <c r="A240" s="34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</row>
    <row r="241" spans="1:66" ht="15.75">
      <c r="A241" s="34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</row>
    <row r="242" spans="1:66" ht="15.75">
      <c r="A242" s="34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</row>
    <row r="243" spans="1:66" ht="15.75">
      <c r="A243" s="3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</row>
    <row r="244" spans="1:66" ht="15.75">
      <c r="A244" s="3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</row>
    <row r="245" spans="1:66" ht="15.75">
      <c r="A245" s="34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</row>
    <row r="246" spans="1:66" ht="15.75">
      <c r="A246" s="34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</row>
    <row r="247" spans="1:66" ht="15.75">
      <c r="A247" s="34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</row>
    <row r="248" spans="1:66" ht="15.75">
      <c r="A248" s="34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</row>
    <row r="249" spans="1:66" ht="15.75">
      <c r="A249" s="34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</row>
    <row r="250" spans="1:66" ht="15.75">
      <c r="A250" s="34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</row>
    <row r="251" spans="1:66" ht="15.75">
      <c r="A251" s="34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</row>
    <row r="252" spans="1:66" ht="15.75">
      <c r="A252" s="34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</row>
    <row r="253" spans="1:66" ht="15.75">
      <c r="A253" s="3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</row>
    <row r="254" spans="1:66" ht="15.75">
      <c r="A254" s="3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</row>
    <row r="255" spans="1:66" ht="15.75">
      <c r="A255" s="34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</row>
    <row r="256" spans="1:66" ht="15.75">
      <c r="A256" s="34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</row>
    <row r="257" spans="1:66" ht="15.75">
      <c r="A257" s="34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</row>
    <row r="258" spans="1:66" ht="15.75">
      <c r="A258" s="34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</row>
    <row r="259" spans="1:66" ht="15.75">
      <c r="A259" s="34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</row>
    <row r="260" spans="1:66" ht="15.75">
      <c r="A260" s="34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</row>
    <row r="261" spans="1:66" ht="15.75">
      <c r="A261" s="34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</row>
    <row r="262" spans="1:66" ht="15.75">
      <c r="A262" s="34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</row>
    <row r="263" spans="1:66" ht="15.75">
      <c r="A263" s="34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</row>
    <row r="264" spans="1:66" ht="15.7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</row>
    <row r="265" spans="1:66" ht="15.75">
      <c r="A265" s="34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</row>
    <row r="266" spans="1:66" ht="15.75">
      <c r="A266" s="34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</row>
    <row r="267" spans="1:66" ht="15.75">
      <c r="A267" s="34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</row>
    <row r="268" spans="1:66" ht="15.75">
      <c r="A268" s="34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</row>
    <row r="269" spans="1:66" ht="15.75">
      <c r="A269" s="34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</row>
    <row r="270" spans="1:66" ht="15.75">
      <c r="A270" s="34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</row>
    <row r="271" spans="1:66" ht="15.75">
      <c r="A271" s="34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</row>
    <row r="272" spans="1:66" ht="15.75">
      <c r="A272" s="34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</row>
    <row r="273" spans="1:66" ht="15.7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</row>
    <row r="274" spans="1:66" ht="15.7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</row>
    <row r="275" spans="1:66" ht="15.75">
      <c r="A275" s="34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</row>
    <row r="276" spans="1:66" ht="15.75">
      <c r="A276" s="34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</row>
    <row r="277" spans="1:66" ht="15.75">
      <c r="A277" s="34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</row>
    <row r="278" spans="1:66" ht="15.75">
      <c r="A278" s="34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</row>
    <row r="279" spans="1:66" ht="15.75">
      <c r="A279" s="34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</row>
    <row r="280" spans="1:66" ht="15.75">
      <c r="A280" s="34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</row>
    <row r="281" spans="1:66" ht="15.75">
      <c r="A281" s="34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</row>
    <row r="282" spans="1:66" ht="15.75">
      <c r="A282" s="34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</row>
    <row r="283" spans="1:66" ht="15.7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</row>
    <row r="284" spans="1:66" ht="15.7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</row>
    <row r="285" spans="1:66" ht="15.75">
      <c r="A285" s="34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</row>
    <row r="286" spans="1:66" ht="15.75">
      <c r="A286" s="34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</row>
    <row r="287" spans="1:66" ht="15.75">
      <c r="A287" s="34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</row>
    <row r="288" spans="1:66" ht="15.75">
      <c r="A288" s="34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</row>
    <row r="289" spans="1:66" ht="15.75">
      <c r="A289" s="34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</row>
    <row r="290" spans="1:66" ht="15.75">
      <c r="A290" s="34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</row>
    <row r="291" spans="1:66" ht="15.75">
      <c r="A291" s="34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</row>
    <row r="292" spans="1:66" ht="15.75">
      <c r="A292" s="34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</row>
    <row r="293" spans="1:66" ht="15.7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</row>
    <row r="294" spans="1:66" ht="15.7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</row>
    <row r="295" spans="1:66" ht="15.75">
      <c r="A295" s="34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</row>
    <row r="296" spans="1:66" ht="15.75">
      <c r="A296" s="34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</row>
    <row r="297" spans="1:66" ht="15.75">
      <c r="A297" s="34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</row>
    <row r="298" spans="1:66" ht="15.75">
      <c r="A298" s="34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</row>
    <row r="299" spans="1:66" ht="15.75">
      <c r="A299" s="34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</row>
    <row r="300" spans="1:66" ht="15.75">
      <c r="A300" s="34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</row>
    <row r="301" spans="1:66" ht="15.75">
      <c r="A301" s="34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</row>
    <row r="302" spans="1:66" ht="15.75">
      <c r="A302" s="34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</row>
    <row r="303" spans="1:66" ht="15.7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</row>
    <row r="304" spans="1:66" ht="15.7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</row>
    <row r="305" spans="1:66" ht="15.75">
      <c r="A305" s="34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</row>
    <row r="306" spans="1:66" ht="15.75">
      <c r="A306" s="34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</row>
    <row r="307" spans="1:66" ht="15.75">
      <c r="A307" s="34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</row>
    <row r="308" spans="1:66" ht="15.75">
      <c r="A308" s="34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</row>
    <row r="309" spans="1:66" ht="15.75">
      <c r="A309" s="34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</row>
    <row r="310" spans="1:66" ht="15.75">
      <c r="A310" s="34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</row>
    <row r="311" spans="1:66" ht="15.75">
      <c r="A311" s="34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</row>
    <row r="312" spans="1:66" ht="15.75">
      <c r="A312" s="34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</row>
    <row r="313" spans="1:66" ht="15.7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</row>
    <row r="314" spans="1:66" ht="15.7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</row>
    <row r="315" spans="1:66" ht="15.75">
      <c r="A315" s="34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</row>
    <row r="316" spans="1:66" ht="15.75">
      <c r="A316" s="34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</row>
    <row r="317" spans="1:66" ht="15.75">
      <c r="A317" s="34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</row>
    <row r="318" spans="1:66" ht="15.75">
      <c r="A318" s="34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</row>
    <row r="319" spans="1:66" ht="15.75">
      <c r="A319" s="34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</row>
    <row r="320" spans="1:66" ht="15.75">
      <c r="A320" s="34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</row>
    <row r="321" spans="1:66" ht="15.75">
      <c r="A321" s="34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</row>
    <row r="322" spans="1:66" ht="15.75">
      <c r="A322" s="34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</row>
    <row r="323" spans="1:66" ht="15.7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</row>
    <row r="324" spans="1:66" ht="15.7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</row>
    <row r="325" spans="1:66" ht="15.75">
      <c r="A325" s="34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</row>
    <row r="326" spans="1:66" ht="15.75">
      <c r="A326" s="34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</row>
    <row r="327" spans="1:66" ht="15.75">
      <c r="A327" s="34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</row>
    <row r="328" spans="1:66" ht="15.75">
      <c r="A328" s="34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</row>
    <row r="329" spans="1:66" ht="15.75">
      <c r="A329" s="34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</row>
    <row r="330" spans="1:66" ht="15.75">
      <c r="A330" s="34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</row>
    <row r="331" spans="1:66" ht="15.75">
      <c r="A331" s="34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</row>
    <row r="332" spans="1:66" ht="15.75">
      <c r="A332" s="34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</row>
    <row r="333" spans="1:66" ht="15.7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</row>
    <row r="334" spans="1:66" ht="15.7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</row>
    <row r="335" spans="1:66" ht="15.75">
      <c r="A335" s="34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</row>
    <row r="336" spans="1:66" ht="15.75">
      <c r="A336" s="34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</row>
    <row r="337" spans="1:66" ht="15.75">
      <c r="A337" s="34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</row>
    <row r="338" spans="1:66" ht="15.75">
      <c r="A338" s="34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</row>
    <row r="339" spans="1:66" ht="15.75">
      <c r="A339" s="34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</row>
    <row r="340" spans="1:66" ht="15.75">
      <c r="A340" s="34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</row>
    <row r="341" spans="1:66" ht="15.75">
      <c r="A341" s="34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</row>
    <row r="342" spans="1:66" ht="15.75">
      <c r="A342" s="34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</row>
    <row r="343" spans="1:66" ht="15.7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</row>
    <row r="344" spans="1:66" ht="15.7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</row>
    <row r="345" spans="1:66" ht="15.75">
      <c r="A345" s="34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</row>
    <row r="346" spans="1:66" ht="15.75">
      <c r="A346" s="34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</row>
    <row r="347" spans="1:66" ht="15.75">
      <c r="A347" s="34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</row>
    <row r="348" spans="1:66" ht="15.75">
      <c r="A348" s="34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</row>
    <row r="349" spans="1:66" ht="15.75">
      <c r="A349" s="34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</row>
    <row r="350" spans="1:66" ht="15.75">
      <c r="A350" s="34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</row>
    <row r="351" spans="1:66" ht="15.75">
      <c r="A351" s="34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</row>
    <row r="352" spans="1:66" ht="15.75">
      <c r="A352" s="34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</row>
    <row r="353" spans="1:66" ht="15.7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</row>
    <row r="354" spans="1:66" ht="15.7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</row>
    <row r="355" spans="1:66" ht="15.75">
      <c r="A355" s="34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</row>
    <row r="356" spans="1:66" ht="15.75">
      <c r="A356" s="34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</row>
    <row r="357" spans="1:66" ht="15.75">
      <c r="A357" s="34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</row>
    <row r="358" spans="1:66" ht="15.75">
      <c r="A358" s="34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</row>
    <row r="359" spans="1:66" ht="15.75">
      <c r="A359" s="34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</row>
    <row r="360" spans="1:66" ht="15.75">
      <c r="A360" s="34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</row>
    <row r="361" spans="1:66" ht="15.75">
      <c r="A361" s="34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</row>
    <row r="362" spans="1:66" ht="15.75">
      <c r="A362" s="34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</row>
    <row r="363" spans="1:66" ht="15.7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</row>
    <row r="364" spans="1:66" ht="15.7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</row>
    <row r="365" spans="1:66" ht="15.75">
      <c r="A365" s="34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</row>
    <row r="366" spans="1:66" ht="15.75">
      <c r="A366" s="34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</row>
    <row r="367" spans="1:66" ht="15.75">
      <c r="A367" s="34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</row>
    <row r="368" spans="1:66" ht="15.75">
      <c r="A368" s="34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</row>
    <row r="369" spans="1:66" ht="15.75">
      <c r="A369" s="34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</row>
    <row r="370" spans="1:66" ht="15.75">
      <c r="A370" s="34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</row>
    <row r="371" spans="1:66" ht="15.75">
      <c r="A371" s="34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</row>
    <row r="372" spans="1:66" ht="15.75">
      <c r="A372" s="34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</row>
    <row r="373" spans="1:66" ht="15.7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</row>
    <row r="374" spans="1:66" ht="15.7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</row>
    <row r="375" spans="1:66" ht="15.75">
      <c r="A375" s="34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</row>
    <row r="376" spans="1:66" ht="15.75">
      <c r="A376" s="34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</row>
    <row r="377" spans="1:66" ht="15.75">
      <c r="A377" s="34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</row>
    <row r="378" spans="1:66" ht="15.75">
      <c r="A378" s="34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</row>
    <row r="379" spans="1:66" ht="15.75">
      <c r="A379" s="34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</row>
    <row r="380" spans="1:66" ht="15.75">
      <c r="A380" s="34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</row>
    <row r="381" spans="1:66">
      <c r="BJ381" s="47"/>
      <c r="BK381" s="47"/>
    </row>
    <row r="382" spans="1:66">
      <c r="BJ382" s="47"/>
      <c r="BK382" s="47"/>
    </row>
    <row r="383" spans="1:66">
      <c r="BJ383" s="47"/>
      <c r="BK383" s="47"/>
    </row>
    <row r="384" spans="1:66">
      <c r="BJ384" s="47"/>
      <c r="BK384" s="47"/>
    </row>
    <row r="385" spans="62:63">
      <c r="BJ385" s="47"/>
      <c r="BK385" s="47"/>
    </row>
    <row r="386" spans="62:63">
      <c r="BJ386" s="47"/>
      <c r="BK386" s="47"/>
    </row>
    <row r="387" spans="62:63">
      <c r="BJ387" s="47"/>
      <c r="BK387" s="47"/>
    </row>
    <row r="388" spans="62:63">
      <c r="BJ388" s="47"/>
      <c r="BK388" s="47"/>
    </row>
    <row r="389" spans="62:63">
      <c r="BJ389" s="47"/>
      <c r="BK389" s="47"/>
    </row>
    <row r="390" spans="62:63">
      <c r="BJ390" s="47"/>
      <c r="BK390" s="47"/>
    </row>
    <row r="391" spans="62:63">
      <c r="BJ391" s="47"/>
      <c r="BK391" s="47"/>
    </row>
    <row r="392" spans="62:63">
      <c r="BJ392" s="47"/>
      <c r="BK392" s="47"/>
    </row>
    <row r="393" spans="62:63">
      <c r="BJ393" s="47"/>
      <c r="BK393" s="47"/>
    </row>
    <row r="394" spans="62:63">
      <c r="BJ394" s="47"/>
      <c r="BK394" s="47"/>
    </row>
    <row r="395" spans="62:63">
      <c r="BJ395" s="47"/>
      <c r="BK395" s="47"/>
    </row>
    <row r="396" spans="62:63">
      <c r="BJ396" s="47"/>
      <c r="BK396" s="47"/>
    </row>
    <row r="397" spans="62:63">
      <c r="BJ397" s="47"/>
      <c r="BK397" s="47"/>
    </row>
    <row r="398" spans="62:63">
      <c r="BJ398" s="47"/>
      <c r="BK398" s="47"/>
    </row>
    <row r="399" spans="62:63">
      <c r="BJ399" s="47"/>
      <c r="BK399" s="47"/>
    </row>
    <row r="400" spans="62:63">
      <c r="BJ400" s="47"/>
      <c r="BK400" s="47"/>
    </row>
    <row r="401" spans="62:63">
      <c r="BJ401" s="47"/>
      <c r="BK401" s="47"/>
    </row>
    <row r="402" spans="62:63">
      <c r="BJ402" s="47"/>
      <c r="BK402" s="47"/>
    </row>
    <row r="403" spans="62:63">
      <c r="BJ403" s="47"/>
      <c r="BK403" s="47"/>
    </row>
    <row r="404" spans="62:63">
      <c r="BJ404" s="47"/>
      <c r="BK404" s="47"/>
    </row>
    <row r="405" spans="62:63">
      <c r="BJ405" s="47"/>
      <c r="BK405" s="47"/>
    </row>
    <row r="406" spans="62:63">
      <c r="BJ406" s="47"/>
      <c r="BK406" s="47"/>
    </row>
    <row r="407" spans="62:63">
      <c r="BJ407" s="47"/>
      <c r="BK407" s="47"/>
    </row>
    <row r="408" spans="62:63">
      <c r="BJ408" s="47"/>
      <c r="BK408" s="47"/>
    </row>
    <row r="409" spans="62:63">
      <c r="BJ409" s="47"/>
      <c r="BK409" s="47"/>
    </row>
    <row r="410" spans="62:63">
      <c r="BJ410" s="47"/>
      <c r="BK410" s="47"/>
    </row>
    <row r="411" spans="62:63">
      <c r="BJ411" s="47"/>
      <c r="BK411" s="47"/>
    </row>
    <row r="412" spans="62:63">
      <c r="BJ412" s="47"/>
      <c r="BK412" s="47"/>
    </row>
    <row r="413" spans="62:63">
      <c r="BJ413" s="47"/>
      <c r="BK413" s="47"/>
    </row>
    <row r="414" spans="62:63">
      <c r="BJ414" s="47"/>
      <c r="BK414" s="47"/>
    </row>
    <row r="415" spans="62:63">
      <c r="BJ415" s="47"/>
      <c r="BK415" s="47"/>
    </row>
    <row r="416" spans="62:63">
      <c r="BJ416" s="47"/>
      <c r="BK416" s="47"/>
    </row>
    <row r="417" spans="62:63">
      <c r="BJ417" s="47"/>
      <c r="BK417" s="47"/>
    </row>
    <row r="418" spans="62:63">
      <c r="BJ418" s="47"/>
      <c r="BK418" s="47"/>
    </row>
    <row r="419" spans="62:63">
      <c r="BJ419" s="47"/>
      <c r="BK419" s="47"/>
    </row>
    <row r="420" spans="62:63">
      <c r="BJ420" s="47"/>
      <c r="BK420" s="47"/>
    </row>
    <row r="421" spans="62:63">
      <c r="BJ421" s="47"/>
      <c r="BK421" s="47"/>
    </row>
    <row r="422" spans="62:63">
      <c r="BJ422" s="47"/>
      <c r="BK422" s="47"/>
    </row>
    <row r="423" spans="62:63">
      <c r="BJ423" s="47"/>
      <c r="BK423" s="47"/>
    </row>
    <row r="424" spans="62:63">
      <c r="BJ424" s="47"/>
      <c r="BK424" s="47"/>
    </row>
    <row r="425" spans="62:63">
      <c r="BJ425" s="47"/>
      <c r="BK425" s="47"/>
    </row>
    <row r="426" spans="62:63">
      <c r="BJ426" s="47"/>
      <c r="BK426" s="47"/>
    </row>
    <row r="427" spans="62:63">
      <c r="BJ427" s="47"/>
      <c r="BK427" s="47"/>
    </row>
    <row r="428" spans="62:63">
      <c r="BJ428" s="47"/>
      <c r="BK428" s="47"/>
    </row>
    <row r="429" spans="62:63">
      <c r="BJ429" s="47"/>
      <c r="BK429" s="47"/>
    </row>
    <row r="430" spans="62:63">
      <c r="BJ430" s="47"/>
      <c r="BK430" s="47"/>
    </row>
    <row r="431" spans="62:63">
      <c r="BJ431" s="47"/>
      <c r="BK431" s="47"/>
    </row>
    <row r="432" spans="62:63">
      <c r="BJ432" s="47"/>
      <c r="BK432" s="47"/>
    </row>
    <row r="433" spans="62:63">
      <c r="BJ433" s="47"/>
      <c r="BK433" s="47"/>
    </row>
    <row r="434" spans="62:63">
      <c r="BJ434" s="47"/>
      <c r="BK434" s="47"/>
    </row>
    <row r="435" spans="62:63">
      <c r="BJ435" s="47"/>
      <c r="BK435" s="47"/>
    </row>
    <row r="436" spans="62:63">
      <c r="BJ436" s="47"/>
      <c r="BK436" s="47"/>
    </row>
    <row r="437" spans="62:63">
      <c r="BJ437" s="47"/>
      <c r="BK437" s="47"/>
    </row>
    <row r="438" spans="62:63">
      <c r="BJ438" s="47"/>
      <c r="BK438" s="47"/>
    </row>
    <row r="439" spans="62:63">
      <c r="BJ439" s="47"/>
      <c r="BK439" s="47"/>
    </row>
    <row r="440" spans="62:63">
      <c r="BJ440" s="47"/>
      <c r="BK440" s="47"/>
    </row>
    <row r="441" spans="62:63">
      <c r="BJ441" s="47"/>
      <c r="BK441" s="47"/>
    </row>
    <row r="442" spans="62:63">
      <c r="BJ442" s="47"/>
      <c r="BK442" s="47"/>
    </row>
    <row r="443" spans="62:63">
      <c r="BJ443" s="47"/>
      <c r="BK443" s="47"/>
    </row>
    <row r="444" spans="62:63">
      <c r="BJ444" s="47"/>
      <c r="BK444" s="47"/>
    </row>
    <row r="445" spans="62:63">
      <c r="BJ445" s="47"/>
      <c r="BK445" s="47"/>
    </row>
    <row r="446" spans="62:63">
      <c r="BJ446" s="47"/>
      <c r="BK446" s="47"/>
    </row>
    <row r="447" spans="62:63">
      <c r="BJ447" s="47"/>
      <c r="BK447" s="47"/>
    </row>
    <row r="448" spans="62:63">
      <c r="BJ448" s="47"/>
      <c r="BK448" s="47"/>
    </row>
    <row r="449" spans="62:63">
      <c r="BJ449" s="47"/>
      <c r="BK449" s="47"/>
    </row>
    <row r="450" spans="62:63">
      <c r="BJ450" s="47"/>
      <c r="BK450" s="47"/>
    </row>
    <row r="451" spans="62:63">
      <c r="BJ451" s="47"/>
      <c r="BK451" s="47"/>
    </row>
    <row r="452" spans="62:63">
      <c r="BJ452" s="47"/>
      <c r="BK452" s="47"/>
    </row>
    <row r="453" spans="62:63">
      <c r="BJ453" s="47"/>
      <c r="BK453" s="47"/>
    </row>
    <row r="454" spans="62:63">
      <c r="BJ454" s="47"/>
      <c r="BK454" s="47"/>
    </row>
    <row r="455" spans="62:63">
      <c r="BJ455" s="47"/>
      <c r="BK455" s="47"/>
    </row>
    <row r="456" spans="62:63">
      <c r="BJ456" s="47"/>
      <c r="BK456" s="47"/>
    </row>
    <row r="457" spans="62:63">
      <c r="BJ457" s="47"/>
      <c r="BK457" s="47"/>
    </row>
    <row r="458" spans="62:63">
      <c r="BJ458" s="47"/>
      <c r="BK458" s="47"/>
    </row>
    <row r="459" spans="62:63">
      <c r="BJ459" s="47"/>
      <c r="BK459" s="47"/>
    </row>
    <row r="460" spans="62:63">
      <c r="BJ460" s="47"/>
      <c r="BK460" s="47"/>
    </row>
    <row r="461" spans="62:63">
      <c r="BJ461" s="47"/>
      <c r="BK461" s="47"/>
    </row>
    <row r="462" spans="62:63">
      <c r="BJ462" s="47"/>
      <c r="BK462" s="47"/>
    </row>
    <row r="463" spans="62:63">
      <c r="BJ463" s="47"/>
      <c r="BK463" s="47"/>
    </row>
    <row r="464" spans="62:63">
      <c r="BJ464" s="47"/>
      <c r="BK464" s="47"/>
    </row>
    <row r="465" spans="62:63">
      <c r="BJ465" s="47"/>
      <c r="BK465" s="47"/>
    </row>
    <row r="466" spans="62:63">
      <c r="BJ466" s="47"/>
      <c r="BK466" s="47"/>
    </row>
    <row r="467" spans="62:63">
      <c r="BJ467" s="47"/>
      <c r="BK467" s="47"/>
    </row>
    <row r="468" spans="62:63">
      <c r="BJ468" s="47"/>
      <c r="BK468" s="47"/>
    </row>
    <row r="469" spans="62:63">
      <c r="BJ469" s="47"/>
      <c r="BK469" s="47"/>
    </row>
    <row r="470" spans="62:63">
      <c r="BJ470" s="47"/>
      <c r="BK470" s="47"/>
    </row>
    <row r="471" spans="62:63">
      <c r="BJ471" s="47"/>
      <c r="BK471" s="47"/>
    </row>
    <row r="472" spans="62:63">
      <c r="BJ472" s="47"/>
      <c r="BK472" s="47"/>
    </row>
    <row r="473" spans="62:63">
      <c r="BJ473" s="47"/>
      <c r="BK473" s="47"/>
    </row>
    <row r="474" spans="62:63">
      <c r="BJ474" s="47"/>
      <c r="BK474" s="47"/>
    </row>
    <row r="475" spans="62:63">
      <c r="BJ475" s="47"/>
      <c r="BK475" s="47"/>
    </row>
    <row r="476" spans="62:63">
      <c r="BJ476" s="47"/>
      <c r="BK476" s="47"/>
    </row>
    <row r="477" spans="62:63">
      <c r="BJ477" s="47"/>
      <c r="BK477" s="47"/>
    </row>
    <row r="478" spans="62:63">
      <c r="BJ478" s="47"/>
      <c r="BK478" s="47"/>
    </row>
    <row r="479" spans="62:63">
      <c r="BJ479" s="47"/>
      <c r="BK479" s="47"/>
    </row>
    <row r="480" spans="62:63">
      <c r="BJ480" s="47"/>
      <c r="BK480" s="47"/>
    </row>
    <row r="481" spans="62:63">
      <c r="BJ481" s="47"/>
      <c r="BK481" s="47"/>
    </row>
    <row r="482" spans="62:63">
      <c r="BJ482" s="47"/>
      <c r="BK482" s="47"/>
    </row>
    <row r="483" spans="62:63">
      <c r="BJ483" s="47"/>
      <c r="BK483" s="47"/>
    </row>
    <row r="484" spans="62:63">
      <c r="BJ484" s="47"/>
      <c r="BK484" s="47"/>
    </row>
    <row r="485" spans="62:63">
      <c r="BJ485" s="47"/>
      <c r="BK485" s="47"/>
    </row>
    <row r="486" spans="62:63">
      <c r="BJ486" s="47"/>
      <c r="BK486" s="47"/>
    </row>
    <row r="487" spans="62:63">
      <c r="BJ487" s="47"/>
      <c r="BK487" s="47"/>
    </row>
    <row r="488" spans="62:63">
      <c r="BJ488" s="47"/>
      <c r="BK488" s="47"/>
    </row>
    <row r="489" spans="62:63">
      <c r="BJ489" s="47"/>
      <c r="BK489" s="47"/>
    </row>
    <row r="490" spans="62:63">
      <c r="BJ490" s="47"/>
      <c r="BK490" s="47"/>
    </row>
    <row r="491" spans="62:63">
      <c r="BJ491" s="47"/>
      <c r="BK491" s="47"/>
    </row>
    <row r="492" spans="62:63">
      <c r="BJ492" s="47"/>
      <c r="BK492" s="47"/>
    </row>
    <row r="493" spans="62:63">
      <c r="BJ493" s="47"/>
      <c r="BK493" s="47"/>
    </row>
    <row r="494" spans="62:63">
      <c r="BJ494" s="47"/>
      <c r="BK494" s="47"/>
    </row>
    <row r="495" spans="62:63">
      <c r="BJ495" s="47"/>
      <c r="BK495" s="47"/>
    </row>
    <row r="496" spans="62:63">
      <c r="BJ496" s="47"/>
      <c r="BK496" s="47"/>
    </row>
    <row r="497" spans="62:63">
      <c r="BJ497" s="47"/>
      <c r="BK497" s="47"/>
    </row>
    <row r="498" spans="62:63">
      <c r="BJ498" s="47"/>
      <c r="BK498" s="47"/>
    </row>
    <row r="499" spans="62:63">
      <c r="BJ499" s="47"/>
      <c r="BK499" s="47"/>
    </row>
    <row r="500" spans="62:63">
      <c r="BJ500" s="47"/>
      <c r="BK500" s="47"/>
    </row>
    <row r="501" spans="62:63">
      <c r="BJ501" s="47"/>
      <c r="BK501" s="47"/>
    </row>
    <row r="502" spans="62:63">
      <c r="BJ502" s="47"/>
      <c r="BK502" s="47"/>
    </row>
    <row r="503" spans="62:63">
      <c r="BJ503" s="47"/>
      <c r="BK503" s="47"/>
    </row>
    <row r="504" spans="62:63">
      <c r="BJ504" s="47"/>
      <c r="BK504" s="47"/>
    </row>
    <row r="505" spans="62:63">
      <c r="BJ505" s="47"/>
      <c r="BK505" s="47"/>
    </row>
    <row r="506" spans="62:63">
      <c r="BJ506" s="47"/>
      <c r="BK506" s="47"/>
    </row>
    <row r="507" spans="62:63">
      <c r="BJ507" s="47"/>
      <c r="BK507" s="47"/>
    </row>
    <row r="508" spans="62:63">
      <c r="BJ508" s="47"/>
      <c r="BK508" s="47"/>
    </row>
    <row r="509" spans="62:63">
      <c r="BJ509" s="47"/>
      <c r="BK509" s="47"/>
    </row>
    <row r="510" spans="62:63">
      <c r="BJ510" s="47"/>
      <c r="BK510" s="47"/>
    </row>
    <row r="511" spans="62:63">
      <c r="BJ511" s="47"/>
      <c r="BK511" s="47"/>
    </row>
    <row r="512" spans="62:63">
      <c r="BJ512" s="47"/>
      <c r="BK512" s="47"/>
    </row>
    <row r="513" spans="62:63">
      <c r="BJ513" s="47"/>
      <c r="BK513" s="47"/>
    </row>
    <row r="514" spans="62:63">
      <c r="BJ514" s="47"/>
      <c r="BK514" s="47"/>
    </row>
    <row r="515" spans="62:63">
      <c r="BJ515" s="47"/>
      <c r="BK515" s="47"/>
    </row>
    <row r="516" spans="62:63">
      <c r="BJ516" s="47"/>
      <c r="BK516" s="47"/>
    </row>
    <row r="517" spans="62:63">
      <c r="BJ517" s="47"/>
      <c r="BK517" s="47"/>
    </row>
    <row r="518" spans="62:63">
      <c r="BJ518" s="47"/>
      <c r="BK518" s="47"/>
    </row>
    <row r="519" spans="62:63">
      <c r="BJ519" s="47"/>
      <c r="BK519" s="47"/>
    </row>
    <row r="520" spans="62:63">
      <c r="BJ520" s="47"/>
      <c r="BK520" s="47"/>
    </row>
    <row r="521" spans="62:63">
      <c r="BJ521" s="47"/>
      <c r="BK521" s="47"/>
    </row>
    <row r="522" spans="62:63">
      <c r="BJ522" s="47"/>
      <c r="BK522" s="47"/>
    </row>
    <row r="523" spans="62:63">
      <c r="BJ523" s="47"/>
      <c r="BK523" s="47"/>
    </row>
    <row r="524" spans="62:63">
      <c r="BJ524" s="47"/>
      <c r="BK524" s="47"/>
    </row>
    <row r="525" spans="62:63">
      <c r="BJ525" s="47"/>
      <c r="BK525" s="47"/>
    </row>
    <row r="526" spans="62:63">
      <c r="BJ526" s="47"/>
      <c r="BK526" s="47"/>
    </row>
    <row r="527" spans="62:63">
      <c r="BJ527" s="47"/>
      <c r="BK527" s="47"/>
    </row>
    <row r="528" spans="62:63">
      <c r="BJ528" s="47"/>
      <c r="BK528" s="47"/>
    </row>
    <row r="529" spans="62:63">
      <c r="BJ529" s="47"/>
      <c r="BK529" s="47"/>
    </row>
    <row r="530" spans="62:63">
      <c r="BJ530" s="47"/>
      <c r="BK530" s="47"/>
    </row>
    <row r="531" spans="62:63">
      <c r="BJ531" s="47"/>
      <c r="BK531" s="47"/>
    </row>
    <row r="532" spans="62:63">
      <c r="BJ532" s="47"/>
      <c r="BK532" s="47"/>
    </row>
    <row r="533" spans="62:63">
      <c r="BJ533" s="47"/>
      <c r="BK533" s="47"/>
    </row>
    <row r="534" spans="62:63">
      <c r="BJ534" s="47"/>
      <c r="BK534" s="47"/>
    </row>
    <row r="535" spans="62:63">
      <c r="BJ535" s="47"/>
      <c r="BK535" s="47"/>
    </row>
    <row r="536" spans="62:63">
      <c r="BJ536" s="47"/>
      <c r="BK536" s="47"/>
    </row>
    <row r="537" spans="62:63">
      <c r="BJ537" s="47"/>
      <c r="BK537" s="47"/>
    </row>
    <row r="538" spans="62:63">
      <c r="BJ538" s="47"/>
      <c r="BK538" s="47"/>
    </row>
    <row r="539" spans="62:63">
      <c r="BJ539" s="47"/>
      <c r="BK539" s="47"/>
    </row>
    <row r="540" spans="62:63">
      <c r="BJ540" s="47"/>
      <c r="BK540" s="47"/>
    </row>
    <row r="541" spans="62:63">
      <c r="BJ541" s="47"/>
      <c r="BK541" s="47"/>
    </row>
    <row r="542" spans="62:63">
      <c r="BJ542" s="47"/>
      <c r="BK542" s="47"/>
    </row>
    <row r="543" spans="62:63">
      <c r="BJ543" s="47"/>
      <c r="BK543" s="47"/>
    </row>
    <row r="544" spans="62:63">
      <c r="BJ544" s="47"/>
      <c r="BK544" s="47"/>
    </row>
    <row r="545" spans="62:63">
      <c r="BJ545" s="47"/>
      <c r="BK545" s="47"/>
    </row>
    <row r="546" spans="62:63">
      <c r="BJ546" s="47"/>
      <c r="BK546" s="47"/>
    </row>
    <row r="547" spans="62:63">
      <c r="BJ547" s="47"/>
      <c r="BK547" s="47"/>
    </row>
    <row r="548" spans="62:63">
      <c r="BJ548" s="47"/>
      <c r="BK548" s="47"/>
    </row>
    <row r="549" spans="62:63">
      <c r="BJ549" s="47"/>
      <c r="BK549" s="47"/>
    </row>
    <row r="550" spans="62:63">
      <c r="BJ550" s="47"/>
      <c r="BK550" s="47"/>
    </row>
    <row r="551" spans="62:63">
      <c r="BJ551" s="47"/>
      <c r="BK551" s="47"/>
    </row>
    <row r="552" spans="62:63">
      <c r="BJ552" s="47"/>
      <c r="BK552" s="47"/>
    </row>
    <row r="553" spans="62:63">
      <c r="BJ553" s="47"/>
      <c r="BK553" s="47"/>
    </row>
    <row r="554" spans="62:63">
      <c r="BJ554" s="47"/>
      <c r="BK554" s="47"/>
    </row>
    <row r="555" spans="62:63">
      <c r="BJ555" s="47"/>
      <c r="BK555" s="47"/>
    </row>
    <row r="556" spans="62:63">
      <c r="BJ556" s="47"/>
      <c r="BK556" s="47"/>
    </row>
    <row r="557" spans="62:63">
      <c r="BJ557" s="47"/>
      <c r="BK557" s="47"/>
    </row>
    <row r="558" spans="62:63">
      <c r="BJ558" s="47"/>
      <c r="BK558" s="47"/>
    </row>
    <row r="559" spans="62:63">
      <c r="BJ559" s="47"/>
      <c r="BK559" s="47"/>
    </row>
    <row r="560" spans="62:63">
      <c r="BJ560" s="47"/>
      <c r="BK560" s="47"/>
    </row>
    <row r="561" spans="62:63">
      <c r="BJ561" s="47"/>
      <c r="BK561" s="47"/>
    </row>
    <row r="562" spans="62:63">
      <c r="BJ562" s="47"/>
      <c r="BK562" s="47"/>
    </row>
    <row r="563" spans="62:63">
      <c r="BJ563" s="47"/>
      <c r="BK563" s="47"/>
    </row>
    <row r="564" spans="62:63">
      <c r="BJ564" s="47"/>
      <c r="BK564" s="47"/>
    </row>
    <row r="565" spans="62:63">
      <c r="BJ565" s="47"/>
      <c r="BK565" s="47"/>
    </row>
    <row r="566" spans="62:63">
      <c r="BJ566" s="47"/>
      <c r="BK566" s="47"/>
    </row>
    <row r="567" spans="62:63">
      <c r="BJ567" s="47"/>
      <c r="BK567" s="47"/>
    </row>
    <row r="568" spans="62:63">
      <c r="BJ568" s="47"/>
      <c r="BK568" s="47"/>
    </row>
    <row r="569" spans="62:63">
      <c r="BJ569" s="47"/>
      <c r="BK569" s="47"/>
    </row>
    <row r="570" spans="62:63">
      <c r="BJ570" s="47"/>
      <c r="BK570" s="47"/>
    </row>
    <row r="571" spans="62:63">
      <c r="BJ571" s="47"/>
      <c r="BK571" s="47"/>
    </row>
    <row r="572" spans="62:63">
      <c r="BJ572" s="47"/>
      <c r="BK572" s="47"/>
    </row>
    <row r="573" spans="62:63">
      <c r="BJ573" s="47"/>
      <c r="BK573" s="47"/>
    </row>
    <row r="574" spans="62:63">
      <c r="BJ574" s="47"/>
      <c r="BK574" s="47"/>
    </row>
    <row r="575" spans="62:63">
      <c r="BJ575" s="47"/>
      <c r="BK575" s="47"/>
    </row>
    <row r="576" spans="62:63">
      <c r="BJ576" s="47"/>
      <c r="BK576" s="47"/>
    </row>
    <row r="577" spans="62:63">
      <c r="BJ577" s="47"/>
      <c r="BK577" s="47"/>
    </row>
    <row r="578" spans="62:63">
      <c r="BJ578" s="47"/>
      <c r="BK578" s="47"/>
    </row>
    <row r="579" spans="62:63">
      <c r="BJ579" s="47"/>
      <c r="BK579" s="47"/>
    </row>
    <row r="580" spans="62:63">
      <c r="BJ580" s="47"/>
      <c r="BK580" s="47"/>
    </row>
    <row r="581" spans="62:63">
      <c r="BJ581" s="47"/>
      <c r="BK581" s="47"/>
    </row>
    <row r="582" spans="62:63">
      <c r="BJ582" s="47"/>
      <c r="BK582" s="47"/>
    </row>
    <row r="583" spans="62:63">
      <c r="BJ583" s="47"/>
      <c r="BK583" s="47"/>
    </row>
    <row r="584" spans="62:63">
      <c r="BJ584" s="47"/>
      <c r="BK584" s="47"/>
    </row>
    <row r="585" spans="62:63">
      <c r="BJ585" s="47"/>
      <c r="BK585" s="47"/>
    </row>
    <row r="586" spans="62:63">
      <c r="BJ586" s="47"/>
      <c r="BK586" s="47"/>
    </row>
    <row r="587" spans="62:63">
      <c r="BJ587" s="47"/>
      <c r="BK587" s="47"/>
    </row>
    <row r="588" spans="62:63">
      <c r="BJ588" s="47"/>
      <c r="BK588" s="47"/>
    </row>
    <row r="589" spans="62:63">
      <c r="BJ589" s="47"/>
      <c r="BK589" s="47"/>
    </row>
    <row r="590" spans="62:63">
      <c r="BJ590" s="47"/>
      <c r="BK590" s="47"/>
    </row>
    <row r="591" spans="62:63">
      <c r="BJ591" s="47"/>
      <c r="BK591" s="47"/>
    </row>
    <row r="592" spans="62:63">
      <c r="BJ592" s="47"/>
      <c r="BK592" s="47"/>
    </row>
    <row r="593" spans="62:63">
      <c r="BJ593" s="47"/>
      <c r="BK593" s="47"/>
    </row>
    <row r="594" spans="62:63">
      <c r="BJ594" s="47"/>
      <c r="BK594" s="47"/>
    </row>
    <row r="595" spans="62:63">
      <c r="BJ595" s="47"/>
      <c r="BK595" s="47"/>
    </row>
    <row r="596" spans="62:63">
      <c r="BJ596" s="47"/>
      <c r="BK596" s="47"/>
    </row>
    <row r="597" spans="62:63">
      <c r="BJ597" s="47"/>
      <c r="BK597" s="47"/>
    </row>
    <row r="598" spans="62:63">
      <c r="BJ598" s="47"/>
      <c r="BK598" s="47"/>
    </row>
    <row r="599" spans="62:63">
      <c r="BJ599" s="47"/>
      <c r="BK599" s="47"/>
    </row>
    <row r="600" spans="62:63">
      <c r="BJ600" s="47"/>
      <c r="BK600" s="47"/>
    </row>
    <row r="601" spans="62:63">
      <c r="BJ601" s="47"/>
      <c r="BK601" s="47"/>
    </row>
    <row r="602" spans="62:63">
      <c r="BJ602" s="47"/>
      <c r="BK602" s="47"/>
    </row>
    <row r="603" spans="62:63">
      <c r="BJ603" s="47"/>
      <c r="BK603" s="47"/>
    </row>
    <row r="604" spans="62:63">
      <c r="BJ604" s="47"/>
      <c r="BK604" s="47"/>
    </row>
    <row r="605" spans="62:63">
      <c r="BJ605" s="47"/>
      <c r="BK605" s="47"/>
    </row>
    <row r="606" spans="62:63">
      <c r="BJ606" s="47"/>
      <c r="BK606" s="47"/>
    </row>
    <row r="607" spans="62:63">
      <c r="BJ607" s="47"/>
      <c r="BK607" s="47"/>
    </row>
    <row r="608" spans="62:63">
      <c r="BJ608" s="47"/>
      <c r="BK608" s="47"/>
    </row>
    <row r="609" spans="62:63">
      <c r="BJ609" s="47"/>
      <c r="BK609" s="47"/>
    </row>
    <row r="610" spans="62:63">
      <c r="BJ610" s="47"/>
      <c r="BK610" s="47"/>
    </row>
    <row r="611" spans="62:63">
      <c r="BJ611" s="47"/>
      <c r="BK611" s="47"/>
    </row>
    <row r="612" spans="62:63">
      <c r="BJ612" s="47"/>
      <c r="BK612" s="47"/>
    </row>
    <row r="613" spans="62:63">
      <c r="BJ613" s="47"/>
      <c r="BK613" s="47"/>
    </row>
    <row r="614" spans="62:63">
      <c r="BJ614" s="47"/>
      <c r="BK614" s="47"/>
    </row>
    <row r="615" spans="62:63">
      <c r="BJ615" s="47"/>
      <c r="BK615" s="47"/>
    </row>
    <row r="616" spans="62:63">
      <c r="BJ616" s="47"/>
      <c r="BK616" s="47"/>
    </row>
    <row r="617" spans="62:63">
      <c r="BJ617" s="47"/>
      <c r="BK617" s="47"/>
    </row>
    <row r="618" spans="62:63">
      <c r="BJ618" s="47"/>
      <c r="BK618" s="47"/>
    </row>
    <row r="619" spans="62:63">
      <c r="BJ619" s="47"/>
      <c r="BK619" s="47"/>
    </row>
    <row r="620" spans="62:63">
      <c r="BJ620" s="47"/>
      <c r="BK620" s="47"/>
    </row>
    <row r="621" spans="62:63">
      <c r="BJ621" s="47"/>
      <c r="BK621" s="47"/>
    </row>
    <row r="622" spans="62:63">
      <c r="BJ622" s="47"/>
      <c r="BK622" s="47"/>
    </row>
    <row r="623" spans="62:63">
      <c r="BJ623" s="47"/>
      <c r="BK623" s="47"/>
    </row>
    <row r="624" spans="62:63">
      <c r="BJ624" s="47"/>
      <c r="BK624" s="47"/>
    </row>
    <row r="625" spans="62:63">
      <c r="BJ625" s="47"/>
      <c r="BK625" s="47"/>
    </row>
    <row r="626" spans="62:63">
      <c r="BJ626" s="47"/>
      <c r="BK626" s="47"/>
    </row>
    <row r="627" spans="62:63">
      <c r="BJ627" s="47"/>
      <c r="BK627" s="47"/>
    </row>
    <row r="628" spans="62:63">
      <c r="BJ628" s="47"/>
      <c r="BK628" s="47"/>
    </row>
    <row r="629" spans="62:63">
      <c r="BJ629" s="47"/>
      <c r="BK629" s="47"/>
    </row>
    <row r="630" spans="62:63">
      <c r="BJ630" s="47"/>
      <c r="BK630" s="47"/>
    </row>
    <row r="631" spans="62:63">
      <c r="BJ631" s="47"/>
      <c r="BK631" s="47"/>
    </row>
    <row r="632" spans="62:63">
      <c r="BJ632" s="47"/>
      <c r="BK632" s="47"/>
    </row>
    <row r="633" spans="62:63">
      <c r="BJ633" s="47"/>
      <c r="BK633" s="47"/>
    </row>
    <row r="634" spans="62:63">
      <c r="BJ634" s="47"/>
      <c r="BK634" s="47"/>
    </row>
    <row r="635" spans="62:63">
      <c r="BJ635" s="47"/>
      <c r="BK635" s="47"/>
    </row>
    <row r="636" spans="62:63">
      <c r="BJ636" s="47"/>
      <c r="BK636" s="47"/>
    </row>
    <row r="637" spans="62:63">
      <c r="BJ637" s="47"/>
      <c r="BK637" s="47"/>
    </row>
    <row r="638" spans="62:63">
      <c r="BJ638" s="47"/>
      <c r="BK638" s="47"/>
    </row>
    <row r="639" spans="62:63">
      <c r="BJ639" s="47"/>
      <c r="BK639" s="47"/>
    </row>
    <row r="640" spans="62:63">
      <c r="BJ640" s="47"/>
      <c r="BK640" s="47"/>
    </row>
    <row r="641" spans="62:63">
      <c r="BJ641" s="47"/>
      <c r="BK641" s="47"/>
    </row>
    <row r="642" spans="62:63">
      <c r="BJ642" s="47"/>
      <c r="BK642" s="47"/>
    </row>
    <row r="643" spans="62:63">
      <c r="BJ643" s="47"/>
      <c r="BK643" s="47"/>
    </row>
    <row r="644" spans="62:63">
      <c r="BJ644" s="47"/>
      <c r="BK644" s="47"/>
    </row>
    <row r="645" spans="62:63">
      <c r="BJ645" s="47"/>
      <c r="BK645" s="47"/>
    </row>
    <row r="646" spans="62:63">
      <c r="BJ646" s="47"/>
      <c r="BK646" s="47"/>
    </row>
    <row r="647" spans="62:63">
      <c r="BJ647" s="47"/>
      <c r="BK647" s="47"/>
    </row>
    <row r="648" spans="62:63">
      <c r="BJ648" s="47"/>
      <c r="BK648" s="47"/>
    </row>
    <row r="649" spans="62:63">
      <c r="BJ649" s="47"/>
      <c r="BK649" s="47"/>
    </row>
    <row r="650" spans="62:63">
      <c r="BJ650" s="47"/>
      <c r="BK650" s="47"/>
    </row>
    <row r="651" spans="62:63">
      <c r="BJ651" s="47"/>
      <c r="BK651" s="47"/>
    </row>
    <row r="652" spans="62:63">
      <c r="BJ652" s="47"/>
      <c r="BK652" s="47"/>
    </row>
    <row r="653" spans="62:63">
      <c r="BJ653" s="47"/>
      <c r="BK653" s="47"/>
    </row>
    <row r="654" spans="62:63">
      <c r="BJ654" s="47"/>
      <c r="BK654" s="47"/>
    </row>
    <row r="655" spans="62:63">
      <c r="BJ655" s="47"/>
      <c r="BK655" s="47"/>
    </row>
    <row r="656" spans="62:63">
      <c r="BJ656" s="47"/>
      <c r="BK656" s="47"/>
    </row>
    <row r="657" spans="62:63">
      <c r="BJ657" s="47"/>
      <c r="BK657" s="47"/>
    </row>
    <row r="658" spans="62:63">
      <c r="BJ658" s="47"/>
      <c r="BK658" s="47"/>
    </row>
    <row r="659" spans="62:63">
      <c r="BJ659" s="47"/>
      <c r="BK659" s="47"/>
    </row>
    <row r="660" spans="62:63">
      <c r="BJ660" s="47"/>
      <c r="BK660" s="47"/>
    </row>
    <row r="661" spans="62:63">
      <c r="BJ661" s="47"/>
      <c r="BK661" s="47"/>
    </row>
    <row r="662" spans="62:63">
      <c r="BJ662" s="47"/>
      <c r="BK662" s="47"/>
    </row>
    <row r="663" spans="62:63">
      <c r="BJ663" s="47"/>
      <c r="BK663" s="47"/>
    </row>
    <row r="664" spans="62:63">
      <c r="BJ664" s="47"/>
      <c r="BK664" s="47"/>
    </row>
    <row r="665" spans="62:63">
      <c r="BJ665" s="47"/>
      <c r="BK665" s="47"/>
    </row>
    <row r="666" spans="62:63">
      <c r="BJ666" s="47"/>
      <c r="BK666" s="47"/>
    </row>
    <row r="667" spans="62:63">
      <c r="BJ667" s="47"/>
      <c r="BK667" s="47"/>
    </row>
    <row r="668" spans="62:63">
      <c r="BJ668" s="47"/>
      <c r="BK668" s="47"/>
    </row>
    <row r="669" spans="62:63">
      <c r="BJ669" s="47"/>
      <c r="BK669" s="47"/>
    </row>
    <row r="670" spans="62:63">
      <c r="BJ670" s="47"/>
      <c r="BK670" s="47"/>
    </row>
    <row r="671" spans="62:63">
      <c r="BJ671" s="47"/>
      <c r="BK671" s="47"/>
    </row>
    <row r="672" spans="62:63">
      <c r="BJ672" s="47"/>
      <c r="BK672" s="47"/>
    </row>
    <row r="673" spans="62:63">
      <c r="BJ673" s="47"/>
      <c r="BK673" s="47"/>
    </row>
    <row r="674" spans="62:63">
      <c r="BJ674" s="47"/>
      <c r="BK674" s="47"/>
    </row>
    <row r="675" spans="62:63">
      <c r="BJ675" s="47"/>
      <c r="BK675" s="47"/>
    </row>
    <row r="676" spans="62:63">
      <c r="BJ676" s="47"/>
      <c r="BK676" s="47"/>
    </row>
    <row r="677" spans="62:63">
      <c r="BJ677" s="47"/>
      <c r="BK677" s="47"/>
    </row>
    <row r="678" spans="62:63">
      <c r="BJ678" s="47"/>
      <c r="BK678" s="47"/>
    </row>
    <row r="679" spans="62:63">
      <c r="BJ679" s="47"/>
      <c r="BK679" s="47"/>
    </row>
    <row r="680" spans="62:63">
      <c r="BJ680" s="47"/>
      <c r="BK680" s="47"/>
    </row>
    <row r="681" spans="62:63">
      <c r="BJ681" s="47"/>
      <c r="BK681" s="47"/>
    </row>
    <row r="682" spans="62:63">
      <c r="BJ682" s="47"/>
      <c r="BK682" s="47"/>
    </row>
    <row r="683" spans="62:63">
      <c r="BJ683" s="47"/>
      <c r="BK683" s="47"/>
    </row>
    <row r="684" spans="62:63">
      <c r="BJ684" s="47"/>
      <c r="BK684" s="47"/>
    </row>
    <row r="685" spans="62:63">
      <c r="BJ685" s="47"/>
      <c r="BK685" s="47"/>
    </row>
    <row r="686" spans="62:63">
      <c r="BJ686" s="47"/>
      <c r="BK686" s="47"/>
    </row>
    <row r="687" spans="62:63">
      <c r="BJ687" s="47"/>
      <c r="BK687" s="47"/>
    </row>
    <row r="688" spans="62:63">
      <c r="BJ688" s="47"/>
      <c r="BK688" s="47"/>
    </row>
    <row r="689" spans="62:63">
      <c r="BJ689" s="47"/>
      <c r="BK689" s="47"/>
    </row>
    <row r="690" spans="62:63">
      <c r="BJ690" s="47"/>
      <c r="BK690" s="47"/>
    </row>
    <row r="691" spans="62:63">
      <c r="BJ691" s="47"/>
      <c r="BK691" s="47"/>
    </row>
    <row r="692" spans="62:63">
      <c r="BJ692" s="47"/>
      <c r="BK692" s="47"/>
    </row>
    <row r="693" spans="62:63">
      <c r="BJ693" s="47"/>
      <c r="BK693" s="47"/>
    </row>
    <row r="694" spans="62:63">
      <c r="BJ694" s="47"/>
      <c r="BK694" s="47"/>
    </row>
    <row r="695" spans="62:63">
      <c r="BJ695" s="47"/>
      <c r="BK695" s="47"/>
    </row>
    <row r="696" spans="62:63">
      <c r="BJ696" s="47"/>
      <c r="BK696" s="47"/>
    </row>
    <row r="697" spans="62:63">
      <c r="BJ697" s="47"/>
      <c r="BK697" s="47"/>
    </row>
    <row r="698" spans="62:63">
      <c r="BJ698" s="47"/>
      <c r="BK698" s="47"/>
    </row>
    <row r="699" spans="62:63">
      <c r="BJ699" s="47"/>
      <c r="BK699" s="47"/>
    </row>
    <row r="700" spans="62:63">
      <c r="BJ700" s="47"/>
      <c r="BK700" s="47"/>
    </row>
    <row r="701" spans="62:63">
      <c r="BJ701" s="47"/>
      <c r="BK701" s="47"/>
    </row>
    <row r="702" spans="62:63">
      <c r="BJ702" s="47"/>
      <c r="BK702" s="47"/>
    </row>
    <row r="703" spans="62:63">
      <c r="BJ703" s="47"/>
      <c r="BK703" s="47"/>
    </row>
    <row r="704" spans="62:63">
      <c r="BJ704" s="47"/>
      <c r="BK704" s="47"/>
    </row>
    <row r="705" spans="62:63">
      <c r="BJ705" s="47"/>
      <c r="BK705" s="47"/>
    </row>
    <row r="706" spans="62:63">
      <c r="BJ706" s="47"/>
      <c r="BK706" s="47"/>
    </row>
    <row r="707" spans="62:63">
      <c r="BJ707" s="47"/>
      <c r="BK707" s="47"/>
    </row>
    <row r="708" spans="62:63">
      <c r="BJ708" s="47"/>
      <c r="BK708" s="47"/>
    </row>
    <row r="709" spans="62:63">
      <c r="BJ709" s="47"/>
      <c r="BK709" s="47"/>
    </row>
    <row r="710" spans="62:63">
      <c r="BJ710" s="47"/>
      <c r="BK710" s="47"/>
    </row>
    <row r="711" spans="62:63">
      <c r="BJ711" s="47"/>
      <c r="BK711" s="47"/>
    </row>
    <row r="712" spans="62:63">
      <c r="BJ712" s="47"/>
      <c r="BK712" s="47"/>
    </row>
    <row r="713" spans="62:63">
      <c r="BJ713" s="47"/>
      <c r="BK713" s="47"/>
    </row>
    <row r="714" spans="62:63">
      <c r="BJ714" s="47"/>
      <c r="BK714" s="47"/>
    </row>
    <row r="715" spans="62:63">
      <c r="BJ715" s="47"/>
      <c r="BK715" s="47"/>
    </row>
    <row r="716" spans="62:63">
      <c r="BJ716" s="47"/>
      <c r="BK716" s="47"/>
    </row>
    <row r="717" spans="62:63">
      <c r="BJ717" s="47"/>
      <c r="BK717" s="47"/>
    </row>
    <row r="718" spans="62:63">
      <c r="BJ718" s="47"/>
      <c r="BK718" s="47"/>
    </row>
    <row r="719" spans="62:63">
      <c r="BJ719" s="47"/>
      <c r="BK719" s="47"/>
    </row>
    <row r="720" spans="62:63">
      <c r="BJ720" s="47"/>
      <c r="BK720" s="47"/>
    </row>
    <row r="721" spans="62:63">
      <c r="BJ721" s="47"/>
      <c r="BK721" s="47"/>
    </row>
    <row r="722" spans="62:63">
      <c r="BJ722" s="47"/>
      <c r="BK722" s="47"/>
    </row>
    <row r="723" spans="62:63">
      <c r="BJ723" s="47"/>
      <c r="BK723" s="47"/>
    </row>
    <row r="724" spans="62:63">
      <c r="BJ724" s="47"/>
      <c r="BK724" s="47"/>
    </row>
    <row r="725" spans="62:63">
      <c r="BJ725" s="47"/>
      <c r="BK725" s="47"/>
    </row>
    <row r="726" spans="62:63">
      <c r="BJ726" s="47"/>
      <c r="BK726" s="47"/>
    </row>
    <row r="727" spans="62:63">
      <c r="BJ727" s="47"/>
      <c r="BK727" s="47"/>
    </row>
    <row r="728" spans="62:63">
      <c r="BJ728" s="47"/>
      <c r="BK728" s="47"/>
    </row>
    <row r="729" spans="62:63">
      <c r="BJ729" s="47"/>
      <c r="BK729" s="47"/>
    </row>
    <row r="730" spans="62:63">
      <c r="BJ730" s="47"/>
      <c r="BK730" s="47"/>
    </row>
    <row r="731" spans="62:63">
      <c r="BJ731" s="47"/>
      <c r="BK731" s="47"/>
    </row>
    <row r="732" spans="62:63">
      <c r="BJ732" s="47"/>
      <c r="BK732" s="47"/>
    </row>
    <row r="733" spans="62:63">
      <c r="BJ733" s="47"/>
      <c r="BK733" s="47"/>
    </row>
    <row r="734" spans="62:63">
      <c r="BJ734" s="47"/>
      <c r="BK734" s="47"/>
    </row>
  </sheetData>
  <mergeCells count="58">
    <mergeCell ref="BI10:BI12"/>
    <mergeCell ref="BJ10:BJ12"/>
    <mergeCell ref="BK10:BK12"/>
    <mergeCell ref="I11:J11"/>
    <mergeCell ref="K11:L11"/>
    <mergeCell ref="M11:M12"/>
    <mergeCell ref="N11:O11"/>
    <mergeCell ref="BE10:BE12"/>
    <mergeCell ref="BF10:BF12"/>
    <mergeCell ref="R10:S11"/>
    <mergeCell ref="AQ10:AQ12"/>
    <mergeCell ref="AX10:AX12"/>
    <mergeCell ref="AM10:AM12"/>
    <mergeCell ref="AN10:AN12"/>
    <mergeCell ref="AO10:AO12"/>
    <mergeCell ref="V10:W11"/>
    <mergeCell ref="AP10:AP12"/>
    <mergeCell ref="X10:X12"/>
    <mergeCell ref="AV10:AV12"/>
    <mergeCell ref="AW10:AW12"/>
    <mergeCell ref="AR10:AR12"/>
    <mergeCell ref="AU10:AU12"/>
    <mergeCell ref="AD10:AD12"/>
    <mergeCell ref="A10:A12"/>
    <mergeCell ref="B10:B12"/>
    <mergeCell ref="C10:C12"/>
    <mergeCell ref="F10:F12"/>
    <mergeCell ref="G10:Q10"/>
    <mergeCell ref="D10:D12"/>
    <mergeCell ref="E10:E12"/>
    <mergeCell ref="BH10:BH12"/>
    <mergeCell ref="AZ10:AZ12"/>
    <mergeCell ref="BA10:BA12"/>
    <mergeCell ref="BB10:BB12"/>
    <mergeCell ref="BC10:BC12"/>
    <mergeCell ref="BD10:BD12"/>
    <mergeCell ref="BG10:BG12"/>
    <mergeCell ref="AC8:AQ8"/>
    <mergeCell ref="Q7:BB7"/>
    <mergeCell ref="Y10:Y12"/>
    <mergeCell ref="AC10:AC12"/>
    <mergeCell ref="AE10:AE12"/>
    <mergeCell ref="AF10:AF12"/>
    <mergeCell ref="P11:Q11"/>
    <mergeCell ref="AA10:AA12"/>
    <mergeCell ref="AB10:AB12"/>
    <mergeCell ref="AG10:AG12"/>
    <mergeCell ref="AS10:AS12"/>
    <mergeCell ref="AT10:AT12"/>
    <mergeCell ref="AY10:AY12"/>
    <mergeCell ref="AH10:AL11"/>
    <mergeCell ref="Z10:Z12"/>
    <mergeCell ref="T10:U11"/>
    <mergeCell ref="BF1:BK1"/>
    <mergeCell ref="BF2:BK2"/>
    <mergeCell ref="BF4:BK4"/>
    <mergeCell ref="BF5:BK5"/>
    <mergeCell ref="BF6:BK6"/>
  </mergeCells>
  <phoneticPr fontId="5" type="noConversion"/>
  <pageMargins left="0.78740157480314965" right="0.59055118110236227" top="0.39370078740157483" bottom="0.39370078740157483" header="0" footer="0"/>
  <pageSetup paperSize="8" scale="63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zoomScale="75" zoomScaleNormal="75" workbookViewId="0">
      <selection activeCell="L23" sqref="L23"/>
    </sheetView>
  </sheetViews>
  <sheetFormatPr defaultRowHeight="15.75"/>
  <cols>
    <col min="1" max="1" width="5.140625" style="1" customWidth="1"/>
    <col min="2" max="2" width="26.28515625" style="22" customWidth="1"/>
    <col min="3" max="4" width="11.140625" style="1" customWidth="1"/>
    <col min="5" max="5" width="17.42578125" style="1" hidden="1" customWidth="1"/>
    <col min="6" max="6" width="16.85546875" style="1" customWidth="1"/>
    <col min="7" max="7" width="17.5703125" style="1" hidden="1" customWidth="1"/>
    <col min="8" max="8" width="18.42578125" style="1" customWidth="1"/>
    <col min="9" max="16384" width="9.140625" style="1"/>
  </cols>
  <sheetData>
    <row r="1" spans="1:8">
      <c r="E1" s="12" t="s">
        <v>11</v>
      </c>
      <c r="F1" s="12"/>
      <c r="G1" s="13"/>
    </row>
    <row r="2" spans="1:8">
      <c r="E2" s="2" t="s">
        <v>457</v>
      </c>
      <c r="F2" s="2"/>
      <c r="G2" s="5"/>
    </row>
    <row r="3" spans="1:8">
      <c r="E3" s="2"/>
      <c r="F3" s="2"/>
      <c r="G3" s="5"/>
    </row>
    <row r="5" spans="1:8">
      <c r="E5" s="1" t="s">
        <v>253</v>
      </c>
    </row>
    <row r="6" spans="1:8">
      <c r="E6" s="1" t="s">
        <v>464</v>
      </c>
    </row>
    <row r="7" spans="1:8">
      <c r="E7" s="1" t="s">
        <v>465</v>
      </c>
    </row>
    <row r="10" spans="1:8" ht="18.75">
      <c r="B10" s="202" t="s">
        <v>466</v>
      </c>
      <c r="C10" s="202"/>
      <c r="D10" s="202"/>
      <c r="E10" s="202"/>
      <c r="F10" s="202"/>
    </row>
    <row r="11" spans="1:8">
      <c r="B11" s="201"/>
      <c r="C11" s="201"/>
      <c r="D11" s="201"/>
      <c r="E11" s="201"/>
      <c r="F11" s="201"/>
    </row>
    <row r="12" spans="1:8" ht="23.25" customHeight="1">
      <c r="A12" s="157"/>
      <c r="B12" s="201" t="s">
        <v>210</v>
      </c>
      <c r="C12" s="201"/>
      <c r="D12" s="201"/>
      <c r="E12" s="201"/>
      <c r="F12" s="201"/>
      <c r="G12" s="158"/>
    </row>
    <row r="13" spans="1:8" ht="41.25" customHeight="1">
      <c r="A13" s="157"/>
      <c r="B13" s="203" t="s">
        <v>237</v>
      </c>
      <c r="C13" s="203"/>
      <c r="D13" s="203"/>
      <c r="E13" s="203"/>
      <c r="F13" s="203"/>
      <c r="G13" s="158"/>
    </row>
    <row r="14" spans="1:8" ht="16.5" thickBot="1"/>
    <row r="15" spans="1:8" ht="87" customHeight="1" thickBot="1">
      <c r="A15" s="23" t="s">
        <v>209</v>
      </c>
      <c r="B15" s="84" t="s">
        <v>212</v>
      </c>
      <c r="C15" s="24" t="s">
        <v>7</v>
      </c>
      <c r="D15" s="24" t="s">
        <v>282</v>
      </c>
      <c r="E15" s="24" t="s">
        <v>283</v>
      </c>
      <c r="F15" s="25" t="s">
        <v>280</v>
      </c>
      <c r="G15" s="159" t="s">
        <v>281</v>
      </c>
      <c r="H15" s="25" t="s">
        <v>467</v>
      </c>
    </row>
    <row r="16" spans="1:8" ht="20.25" customHeight="1" thickBot="1">
      <c r="A16" s="88">
        <v>1</v>
      </c>
      <c r="B16" s="89">
        <v>2</v>
      </c>
      <c r="C16" s="89">
        <v>3</v>
      </c>
      <c r="D16" s="89">
        <v>4</v>
      </c>
      <c r="E16" s="89">
        <v>5</v>
      </c>
      <c r="F16" s="90">
        <v>5</v>
      </c>
      <c r="G16" s="160">
        <v>7</v>
      </c>
      <c r="H16" s="165">
        <v>6</v>
      </c>
    </row>
    <row r="17" spans="1:8" ht="31.5">
      <c r="A17" s="124" t="s">
        <v>81</v>
      </c>
      <c r="B17" s="85" t="s">
        <v>13</v>
      </c>
      <c r="C17" s="49" t="s">
        <v>14</v>
      </c>
      <c r="D17" s="26" t="s">
        <v>211</v>
      </c>
      <c r="E17" s="144">
        <f>нормы!BH14</f>
        <v>922.54128191943141</v>
      </c>
      <c r="F17" s="144">
        <f>нормы!BJ14</f>
        <v>977.74032755049154</v>
      </c>
      <c r="G17" s="161">
        <f>нормы!BK14</f>
        <v>900.96066048507123</v>
      </c>
      <c r="H17" s="204">
        <f>F17*1.18</f>
        <v>1153.7335865095799</v>
      </c>
    </row>
    <row r="18" spans="1:8" ht="31.5">
      <c r="A18" s="40" t="s">
        <v>103</v>
      </c>
      <c r="B18" s="82" t="s">
        <v>254</v>
      </c>
      <c r="C18" s="52" t="s">
        <v>17</v>
      </c>
      <c r="D18" s="27" t="s">
        <v>211</v>
      </c>
      <c r="E18" s="145">
        <f>нормы!BH15</f>
        <v>838.9932904034315</v>
      </c>
      <c r="F18" s="145">
        <f>нормы!BJ15</f>
        <v>890.27681301443408</v>
      </c>
      <c r="G18" s="162">
        <f>нормы!BK15</f>
        <v>818.94348203019126</v>
      </c>
      <c r="H18" s="204">
        <f t="shared" ref="H18:H81" si="0">F18*1.18</f>
        <v>1050.5266393570321</v>
      </c>
    </row>
    <row r="19" spans="1:8" ht="31.5">
      <c r="A19" s="97">
        <v>3</v>
      </c>
      <c r="B19" s="82" t="s">
        <v>18</v>
      </c>
      <c r="C19" s="52" t="s">
        <v>19</v>
      </c>
      <c r="D19" s="27" t="s">
        <v>211</v>
      </c>
      <c r="E19" s="145">
        <f>нормы!BH16</f>
        <v>1019.7343830354316</v>
      </c>
      <c r="F19" s="145">
        <f>нормы!BJ16</f>
        <v>1067.5646671208694</v>
      </c>
      <c r="G19" s="162">
        <f>нормы!BK16</f>
        <v>1001.0346529559514</v>
      </c>
      <c r="H19" s="204">
        <f t="shared" si="0"/>
        <v>1259.7263072026258</v>
      </c>
    </row>
    <row r="20" spans="1:8" ht="31.5">
      <c r="A20" s="125" t="s">
        <v>105</v>
      </c>
      <c r="B20" s="82" t="s">
        <v>20</v>
      </c>
      <c r="C20" s="52" t="s">
        <v>21</v>
      </c>
      <c r="D20" s="27" t="s">
        <v>211</v>
      </c>
      <c r="E20" s="145">
        <f>нормы!BH17</f>
        <v>1010.4048558274316</v>
      </c>
      <c r="F20" s="145">
        <f>нормы!BJ17</f>
        <v>1067.5616629685205</v>
      </c>
      <c r="G20" s="162">
        <f>нормы!BK17</f>
        <v>988.05882786251141</v>
      </c>
      <c r="H20" s="204">
        <f t="shared" si="0"/>
        <v>1259.7227623028541</v>
      </c>
    </row>
    <row r="21" spans="1:8" ht="31.5">
      <c r="A21" s="125" t="s">
        <v>106</v>
      </c>
      <c r="B21" s="86" t="s">
        <v>241</v>
      </c>
      <c r="C21" s="52" t="s">
        <v>243</v>
      </c>
      <c r="D21" s="27" t="s">
        <v>211</v>
      </c>
      <c r="E21" s="145">
        <f>нормы!BH18</f>
        <v>1710.9915544954315</v>
      </c>
      <c r="F21" s="145">
        <f>нормы!BJ18</f>
        <v>1762.1065583557652</v>
      </c>
      <c r="G21" s="162">
        <f>нормы!BK18</f>
        <v>1691.0076302207513</v>
      </c>
      <c r="H21" s="204">
        <f t="shared" si="0"/>
        <v>2079.2857388598027</v>
      </c>
    </row>
    <row r="22" spans="1:8" ht="31.5">
      <c r="A22" s="40" t="s">
        <v>107</v>
      </c>
      <c r="B22" s="86" t="s">
        <v>241</v>
      </c>
      <c r="C22" s="52" t="s">
        <v>244</v>
      </c>
      <c r="D22" s="27" t="s">
        <v>211</v>
      </c>
      <c r="E22" s="145">
        <f>нормы!BH19</f>
        <v>1833.0627006204313</v>
      </c>
      <c r="F22" s="145">
        <f>нормы!BJ19</f>
        <v>1884.177704480765</v>
      </c>
      <c r="G22" s="162">
        <f>нормы!BK19</f>
        <v>1813.0787763457511</v>
      </c>
      <c r="H22" s="204">
        <f t="shared" si="0"/>
        <v>2223.3296912873025</v>
      </c>
    </row>
    <row r="23" spans="1:8" ht="31.5">
      <c r="A23" s="40" t="s">
        <v>108</v>
      </c>
      <c r="B23" s="86" t="s">
        <v>242</v>
      </c>
      <c r="C23" s="52" t="s">
        <v>245</v>
      </c>
      <c r="D23" s="27" t="s">
        <v>211</v>
      </c>
      <c r="E23" s="145">
        <f>нормы!BH20</f>
        <v>1519.675997912098</v>
      </c>
      <c r="F23" s="145">
        <f>нормы!BJ20</f>
        <v>1570.7910017724316</v>
      </c>
      <c r="G23" s="162">
        <f>нормы!BK20</f>
        <v>1499.6920736374177</v>
      </c>
      <c r="H23" s="204">
        <f t="shared" si="0"/>
        <v>1853.5333820914693</v>
      </c>
    </row>
    <row r="24" spans="1:8" ht="31.5">
      <c r="A24" s="40" t="s">
        <v>109</v>
      </c>
      <c r="B24" s="86" t="s">
        <v>242</v>
      </c>
      <c r="C24" s="52" t="s">
        <v>246</v>
      </c>
      <c r="D24" s="27" t="s">
        <v>211</v>
      </c>
      <c r="E24" s="145">
        <f>нормы!BH21</f>
        <v>1480.4828089954315</v>
      </c>
      <c r="F24" s="145">
        <f>нормы!BJ21</f>
        <v>1531.5978128557651</v>
      </c>
      <c r="G24" s="162">
        <f>нормы!BK21</f>
        <v>1460.4988847207512</v>
      </c>
      <c r="H24" s="204">
        <f t="shared" si="0"/>
        <v>1807.2854191698027</v>
      </c>
    </row>
    <row r="25" spans="1:8" ht="31.5">
      <c r="A25" s="40" t="s">
        <v>110</v>
      </c>
      <c r="B25" s="86" t="s">
        <v>241</v>
      </c>
      <c r="C25" s="52" t="s">
        <v>307</v>
      </c>
      <c r="D25" s="27" t="s">
        <v>211</v>
      </c>
      <c r="E25" s="145">
        <f>нормы!BH22</f>
        <v>1833.0627006204313</v>
      </c>
      <c r="F25" s="145">
        <f>нормы!BJ22</f>
        <v>1884.177704480765</v>
      </c>
      <c r="G25" s="162">
        <f>нормы!BK22</f>
        <v>1813.0787763457511</v>
      </c>
      <c r="H25" s="204">
        <f t="shared" si="0"/>
        <v>2223.3296912873025</v>
      </c>
    </row>
    <row r="26" spans="1:8" ht="31.5">
      <c r="A26" s="40" t="s">
        <v>111</v>
      </c>
      <c r="B26" s="86" t="s">
        <v>302</v>
      </c>
      <c r="C26" s="52" t="s">
        <v>303</v>
      </c>
      <c r="D26" s="27" t="s">
        <v>211</v>
      </c>
      <c r="E26" s="145">
        <f>нормы!BH23</f>
        <v>1552.173117912098</v>
      </c>
      <c r="F26" s="145">
        <f>нормы!BJ23</f>
        <v>1603.2881217724316</v>
      </c>
      <c r="G26" s="162">
        <f>нормы!BK23</f>
        <v>1532.1891936374177</v>
      </c>
      <c r="H26" s="204">
        <f t="shared" si="0"/>
        <v>1891.8799836914693</v>
      </c>
    </row>
    <row r="27" spans="1:8" ht="31.5">
      <c r="A27" s="40" t="s">
        <v>112</v>
      </c>
      <c r="B27" s="86" t="s">
        <v>302</v>
      </c>
      <c r="C27" s="52" t="s">
        <v>304</v>
      </c>
      <c r="D27" s="27" t="s">
        <v>211</v>
      </c>
      <c r="E27" s="145">
        <f>нормы!BH24</f>
        <v>1552.173117912098</v>
      </c>
      <c r="F27" s="145">
        <f>нормы!BJ24</f>
        <v>1603.2881217724316</v>
      </c>
      <c r="G27" s="162">
        <f>нормы!BK24</f>
        <v>1532.1891936374177</v>
      </c>
      <c r="H27" s="204">
        <f t="shared" si="0"/>
        <v>1891.8799836914693</v>
      </c>
    </row>
    <row r="28" spans="1:8" ht="63">
      <c r="A28" s="40" t="s">
        <v>113</v>
      </c>
      <c r="B28" s="87" t="s">
        <v>362</v>
      </c>
      <c r="C28" s="121" t="s">
        <v>363</v>
      </c>
      <c r="D28" s="27" t="s">
        <v>211</v>
      </c>
      <c r="E28" s="145">
        <f>нормы!BH25</f>
        <v>1016.4472304120982</v>
      </c>
      <c r="F28" s="145">
        <f>нормы!BJ25</f>
        <v>1067.5622342724319</v>
      </c>
      <c r="G28" s="162">
        <f>нормы!BK25</f>
        <v>996.46330613741793</v>
      </c>
      <c r="H28" s="204">
        <f t="shared" si="0"/>
        <v>1259.7234364414696</v>
      </c>
    </row>
    <row r="29" spans="1:8" ht="63">
      <c r="A29" s="40" t="s">
        <v>114</v>
      </c>
      <c r="B29" s="87" t="s">
        <v>362</v>
      </c>
      <c r="C29" s="121" t="s">
        <v>364</v>
      </c>
      <c r="D29" s="27" t="s">
        <v>211</v>
      </c>
      <c r="E29" s="145">
        <f>нормы!BH26</f>
        <v>1016.4472304120982</v>
      </c>
      <c r="F29" s="145">
        <f>нормы!BJ26</f>
        <v>1067.5622342724319</v>
      </c>
      <c r="G29" s="162">
        <f>нормы!BK26</f>
        <v>996.46330613741793</v>
      </c>
      <c r="H29" s="204">
        <f t="shared" si="0"/>
        <v>1259.7234364414696</v>
      </c>
    </row>
    <row r="30" spans="1:8" ht="31.5">
      <c r="A30" s="40" t="s">
        <v>115</v>
      </c>
      <c r="B30" s="87" t="s">
        <v>377</v>
      </c>
      <c r="C30" s="121" t="s">
        <v>365</v>
      </c>
      <c r="D30" s="27" t="s">
        <v>211</v>
      </c>
      <c r="E30" s="145">
        <f>нормы!BH27</f>
        <v>805.27395286407545</v>
      </c>
      <c r="F30" s="145">
        <f>нормы!BJ27</f>
        <v>856.38895672440924</v>
      </c>
      <c r="G30" s="162">
        <f>нормы!BK27</f>
        <v>785.29002858939521</v>
      </c>
      <c r="H30" s="204">
        <f t="shared" si="0"/>
        <v>1010.5389689348028</v>
      </c>
    </row>
    <row r="31" spans="1:8" ht="31.5">
      <c r="A31" s="40" t="s">
        <v>116</v>
      </c>
      <c r="B31" s="82" t="s">
        <v>22</v>
      </c>
      <c r="C31" s="52" t="s">
        <v>23</v>
      </c>
      <c r="D31" s="27" t="s">
        <v>211</v>
      </c>
      <c r="E31" s="145">
        <f>нормы!BH28</f>
        <v>429.89423931340116</v>
      </c>
      <c r="F31" s="145">
        <f>нормы!BJ28</f>
        <v>477.9035745714246</v>
      </c>
      <c r="G31" s="162">
        <f>нормы!BK28</f>
        <v>0</v>
      </c>
      <c r="H31" s="204">
        <f t="shared" si="0"/>
        <v>563.92621799428105</v>
      </c>
    </row>
    <row r="32" spans="1:8" ht="31.5">
      <c r="A32" s="40" t="s">
        <v>117</v>
      </c>
      <c r="B32" s="82" t="s">
        <v>24</v>
      </c>
      <c r="C32" s="52" t="s">
        <v>25</v>
      </c>
      <c r="D32" s="27" t="s">
        <v>211</v>
      </c>
      <c r="E32" s="145">
        <f>нормы!BH29</f>
        <v>428.89187843323452</v>
      </c>
      <c r="F32" s="145">
        <f>нормы!BJ29</f>
        <v>474.03639492988833</v>
      </c>
      <c r="G32" s="162">
        <f>нормы!BK29</f>
        <v>0</v>
      </c>
      <c r="H32" s="204">
        <f t="shared" si="0"/>
        <v>559.3629460172682</v>
      </c>
    </row>
    <row r="33" spans="1:8" ht="31.5">
      <c r="A33" s="40" t="s">
        <v>118</v>
      </c>
      <c r="B33" s="82" t="s">
        <v>24</v>
      </c>
      <c r="C33" s="52" t="s">
        <v>26</v>
      </c>
      <c r="D33" s="27" t="s">
        <v>211</v>
      </c>
      <c r="E33" s="145">
        <f>нормы!BH30</f>
        <v>428.89187843323452</v>
      </c>
      <c r="F33" s="145">
        <f>нормы!BJ30</f>
        <v>474.03639492988833</v>
      </c>
      <c r="G33" s="162">
        <f>нормы!BK30</f>
        <v>0</v>
      </c>
      <c r="H33" s="204">
        <f t="shared" si="0"/>
        <v>559.3629460172682</v>
      </c>
    </row>
    <row r="34" spans="1:8" ht="41.25" customHeight="1">
      <c r="A34" s="40" t="s">
        <v>119</v>
      </c>
      <c r="B34" s="82" t="s">
        <v>24</v>
      </c>
      <c r="C34" s="52" t="s">
        <v>27</v>
      </c>
      <c r="D34" s="27" t="s">
        <v>211</v>
      </c>
      <c r="E34" s="145">
        <f>нормы!BH31</f>
        <v>428.89187843323452</v>
      </c>
      <c r="F34" s="145">
        <f>нормы!BJ31</f>
        <v>474.03639492988833</v>
      </c>
      <c r="G34" s="162">
        <f>нормы!BK31</f>
        <v>0</v>
      </c>
      <c r="H34" s="204">
        <f t="shared" si="0"/>
        <v>559.3629460172682</v>
      </c>
    </row>
    <row r="35" spans="1:8" ht="42" customHeight="1">
      <c r="A35" s="125" t="s">
        <v>120</v>
      </c>
      <c r="B35" s="82" t="s">
        <v>255</v>
      </c>
      <c r="C35" s="52" t="s">
        <v>28</v>
      </c>
      <c r="D35" s="27" t="s">
        <v>211</v>
      </c>
      <c r="E35" s="145">
        <f>нормы!BH32</f>
        <v>621.68344173043147</v>
      </c>
      <c r="F35" s="145">
        <f>нормы!BJ32</f>
        <v>673.27380044016684</v>
      </c>
      <c r="G35" s="162">
        <f>нормы!BK32</f>
        <v>601.5136727018313</v>
      </c>
      <c r="H35" s="204">
        <f t="shared" si="0"/>
        <v>794.46308451939683</v>
      </c>
    </row>
    <row r="36" spans="1:8" ht="47.25">
      <c r="A36" s="40" t="s">
        <v>121</v>
      </c>
      <c r="B36" s="82" t="s">
        <v>29</v>
      </c>
      <c r="C36" s="52" t="s">
        <v>30</v>
      </c>
      <c r="D36" s="27" t="s">
        <v>211</v>
      </c>
      <c r="E36" s="145">
        <f>нормы!BH33</f>
        <v>670.58738506963982</v>
      </c>
      <c r="F36" s="145">
        <f>нормы!BJ33</f>
        <v>734.68391618405371</v>
      </c>
      <c r="G36" s="162">
        <f>нормы!BK33</f>
        <v>645.52820229895963</v>
      </c>
      <c r="H36" s="204">
        <f t="shared" si="0"/>
        <v>866.92702109718334</v>
      </c>
    </row>
    <row r="37" spans="1:8" ht="47.25">
      <c r="A37" s="125" t="s">
        <v>122</v>
      </c>
      <c r="B37" s="82" t="s">
        <v>29</v>
      </c>
      <c r="C37" s="52" t="s">
        <v>31</v>
      </c>
      <c r="D37" s="27" t="s">
        <v>211</v>
      </c>
      <c r="E37" s="145">
        <f>нормы!BH34</f>
        <v>584.73819338963983</v>
      </c>
      <c r="F37" s="145">
        <f>нормы!BJ34</f>
        <v>633.46373333800568</v>
      </c>
      <c r="G37" s="162">
        <f>нормы!BK34</f>
        <v>565.68845403655962</v>
      </c>
      <c r="H37" s="204">
        <f t="shared" si="0"/>
        <v>747.48720533884671</v>
      </c>
    </row>
    <row r="38" spans="1:8" ht="31.5">
      <c r="A38" s="40" t="s">
        <v>123</v>
      </c>
      <c r="B38" s="82" t="s">
        <v>32</v>
      </c>
      <c r="C38" s="52" t="s">
        <v>33</v>
      </c>
      <c r="D38" s="27" t="s">
        <v>211</v>
      </c>
      <c r="E38" s="145">
        <f>нормы!BH35</f>
        <v>615.2968408524315</v>
      </c>
      <c r="F38" s="145">
        <f>нормы!BJ35</f>
        <v>668.3196089428518</v>
      </c>
      <c r="G38" s="162">
        <f>нормы!BK35</f>
        <v>594.56705698607129</v>
      </c>
      <c r="H38" s="204">
        <f t="shared" si="0"/>
        <v>788.61713855256505</v>
      </c>
    </row>
    <row r="39" spans="1:8" ht="31.5">
      <c r="A39" s="40" t="s">
        <v>124</v>
      </c>
      <c r="B39" s="82" t="s">
        <v>34</v>
      </c>
      <c r="C39" s="52" t="s">
        <v>35</v>
      </c>
      <c r="D39" s="27" t="s">
        <v>211</v>
      </c>
      <c r="E39" s="145">
        <f>нормы!BH36</f>
        <v>608.72379276493132</v>
      </c>
      <c r="F39" s="145">
        <f>нормы!BJ36</f>
        <v>660.31415147466669</v>
      </c>
      <c r="G39" s="162">
        <f>нормы!BK36</f>
        <v>588.55402373633115</v>
      </c>
      <c r="H39" s="204">
        <f t="shared" si="0"/>
        <v>779.17069874010667</v>
      </c>
    </row>
    <row r="40" spans="1:8" ht="47.25">
      <c r="A40" s="40" t="s">
        <v>125</v>
      </c>
      <c r="B40" s="82" t="s">
        <v>257</v>
      </c>
      <c r="C40" s="52" t="s">
        <v>36</v>
      </c>
      <c r="D40" s="27" t="s">
        <v>211</v>
      </c>
      <c r="E40" s="145">
        <f>нормы!BH37</f>
        <v>621.68344173043147</v>
      </c>
      <c r="F40" s="145">
        <f>нормы!BJ37</f>
        <v>673.27380044016684</v>
      </c>
      <c r="G40" s="162">
        <f>нормы!BK37</f>
        <v>601.5136727018313</v>
      </c>
      <c r="H40" s="204">
        <f t="shared" si="0"/>
        <v>794.46308451939683</v>
      </c>
    </row>
    <row r="41" spans="1:8" ht="47.25">
      <c r="A41" s="40" t="s">
        <v>126</v>
      </c>
      <c r="B41" s="82" t="s">
        <v>258</v>
      </c>
      <c r="C41" s="52" t="s">
        <v>37</v>
      </c>
      <c r="D41" s="27" t="s">
        <v>211</v>
      </c>
      <c r="E41" s="145">
        <f>нормы!BH38</f>
        <v>621.68344173043147</v>
      </c>
      <c r="F41" s="145">
        <f>нормы!BJ38</f>
        <v>673.27380044016684</v>
      </c>
      <c r="G41" s="162">
        <f>нормы!BK38</f>
        <v>601.5136727018313</v>
      </c>
      <c r="H41" s="204">
        <f t="shared" si="0"/>
        <v>794.46308451939683</v>
      </c>
    </row>
    <row r="42" spans="1:8" ht="47.25">
      <c r="A42" s="40" t="s">
        <v>127</v>
      </c>
      <c r="B42" s="82" t="s">
        <v>258</v>
      </c>
      <c r="C42" s="52" t="s">
        <v>5</v>
      </c>
      <c r="D42" s="27" t="s">
        <v>211</v>
      </c>
      <c r="E42" s="145">
        <f>нормы!BH39</f>
        <v>621.68344173043147</v>
      </c>
      <c r="F42" s="145">
        <f>нормы!BJ39</f>
        <v>673.27380044016684</v>
      </c>
      <c r="G42" s="162">
        <f>нормы!BK39</f>
        <v>601.5136727018313</v>
      </c>
      <c r="H42" s="204">
        <f t="shared" si="0"/>
        <v>794.46308451939683</v>
      </c>
    </row>
    <row r="43" spans="1:8" ht="31.5">
      <c r="A43" s="40" t="s">
        <v>128</v>
      </c>
      <c r="B43" s="82" t="s">
        <v>259</v>
      </c>
      <c r="C43" s="52" t="s">
        <v>39</v>
      </c>
      <c r="D43" s="27" t="s">
        <v>211</v>
      </c>
      <c r="E43" s="145">
        <f>нормы!BH40</f>
        <v>587.02756885593158</v>
      </c>
      <c r="F43" s="145">
        <f>нормы!BJ40</f>
        <v>636.46931349463989</v>
      </c>
      <c r="G43" s="162">
        <f>нормы!BK40</f>
        <v>567.69782208397135</v>
      </c>
      <c r="H43" s="204">
        <f t="shared" si="0"/>
        <v>751.03378992367504</v>
      </c>
    </row>
    <row r="44" spans="1:8" ht="31.5">
      <c r="A44" s="125" t="s">
        <v>129</v>
      </c>
      <c r="B44" s="82" t="s">
        <v>260</v>
      </c>
      <c r="C44" s="52" t="s">
        <v>40</v>
      </c>
      <c r="D44" s="27" t="s">
        <v>211</v>
      </c>
      <c r="E44" s="145">
        <f>нормы!BH41</f>
        <v>504.39321185443151</v>
      </c>
      <c r="F44" s="145">
        <f>нормы!BJ41</f>
        <v>553.83495649313977</v>
      </c>
      <c r="G44" s="162">
        <f>нормы!BK41</f>
        <v>485.06346508247128</v>
      </c>
      <c r="H44" s="204">
        <f t="shared" si="0"/>
        <v>653.52524866190493</v>
      </c>
    </row>
    <row r="45" spans="1:8" ht="31.5">
      <c r="A45" s="125" t="s">
        <v>130</v>
      </c>
      <c r="B45" s="82" t="s">
        <v>41</v>
      </c>
      <c r="C45" s="52" t="s">
        <v>42</v>
      </c>
      <c r="D45" s="27" t="s">
        <v>211</v>
      </c>
      <c r="E45" s="145">
        <f>нормы!BH42</f>
        <v>579.02735688793143</v>
      </c>
      <c r="F45" s="145">
        <f>нормы!BJ42</f>
        <v>627.03669214595482</v>
      </c>
      <c r="G45" s="162">
        <f>нормы!BK42</f>
        <v>560.25762495373124</v>
      </c>
      <c r="H45" s="204">
        <f t="shared" si="0"/>
        <v>739.90329673222664</v>
      </c>
    </row>
    <row r="46" spans="1:8" ht="31.5">
      <c r="A46" s="125" t="s">
        <v>131</v>
      </c>
      <c r="B46" s="82" t="s">
        <v>38</v>
      </c>
      <c r="C46" s="52" t="s">
        <v>43</v>
      </c>
      <c r="D46" s="27" t="s">
        <v>211</v>
      </c>
      <c r="E46" s="145">
        <f>нормы!BH43</f>
        <v>587.02756885593158</v>
      </c>
      <c r="F46" s="145">
        <f>нормы!BJ43</f>
        <v>636.46931349463989</v>
      </c>
      <c r="G46" s="162">
        <f>нормы!BK43</f>
        <v>567.69782208397135</v>
      </c>
      <c r="H46" s="204">
        <f t="shared" si="0"/>
        <v>751.03378992367504</v>
      </c>
    </row>
    <row r="47" spans="1:8" ht="47.25">
      <c r="A47" s="125" t="s">
        <v>132</v>
      </c>
      <c r="B47" s="82" t="s">
        <v>256</v>
      </c>
      <c r="C47" s="52" t="s">
        <v>238</v>
      </c>
      <c r="D47" s="27" t="s">
        <v>211</v>
      </c>
      <c r="E47" s="145">
        <f>нормы!BH44</f>
        <v>621.68344173043147</v>
      </c>
      <c r="F47" s="145">
        <f>нормы!BJ44</f>
        <v>673.27380044016684</v>
      </c>
      <c r="G47" s="162">
        <f>нормы!BK44</f>
        <v>601.5136727018313</v>
      </c>
      <c r="H47" s="204">
        <f t="shared" si="0"/>
        <v>794.46308451939683</v>
      </c>
    </row>
    <row r="48" spans="1:8" ht="31.5">
      <c r="A48" s="40" t="s">
        <v>133</v>
      </c>
      <c r="B48" s="82" t="s">
        <v>44</v>
      </c>
      <c r="C48" s="52" t="s">
        <v>45</v>
      </c>
      <c r="D48" s="27" t="s">
        <v>211</v>
      </c>
      <c r="E48" s="145">
        <f>нормы!BH45</f>
        <v>493.00761252700721</v>
      </c>
      <c r="F48" s="145">
        <f>нормы!BJ45</f>
        <v>541.01694778503065</v>
      </c>
      <c r="G48" s="162">
        <f>нормы!BK45</f>
        <v>0</v>
      </c>
      <c r="H48" s="204">
        <f t="shared" si="0"/>
        <v>638.39999838633616</v>
      </c>
    </row>
    <row r="49" spans="1:8" ht="63">
      <c r="A49" s="40" t="s">
        <v>134</v>
      </c>
      <c r="B49" s="82" t="s">
        <v>46</v>
      </c>
      <c r="C49" s="52" t="s">
        <v>1</v>
      </c>
      <c r="D49" s="27" t="s">
        <v>211</v>
      </c>
      <c r="E49" s="145">
        <f>нормы!BH46</f>
        <v>494.73929686980722</v>
      </c>
      <c r="F49" s="145">
        <f>нормы!BJ46</f>
        <v>542.74863212783066</v>
      </c>
      <c r="G49" s="162">
        <f>нормы!BK46</f>
        <v>0</v>
      </c>
      <c r="H49" s="204">
        <f t="shared" si="0"/>
        <v>640.44338591084011</v>
      </c>
    </row>
    <row r="50" spans="1:8" ht="47.25">
      <c r="A50" s="97">
        <v>34</v>
      </c>
      <c r="B50" s="82" t="s">
        <v>261</v>
      </c>
      <c r="C50" s="52" t="s">
        <v>2</v>
      </c>
      <c r="D50" s="27" t="s">
        <v>211</v>
      </c>
      <c r="E50" s="145">
        <f>нормы!BH47</f>
        <v>670.42642256143154</v>
      </c>
      <c r="F50" s="145">
        <f>нормы!BJ47</f>
        <v>719.86816720013985</v>
      </c>
      <c r="G50" s="162">
        <f>нормы!BK47</f>
        <v>651.09667578947131</v>
      </c>
      <c r="H50" s="204">
        <f t="shared" si="0"/>
        <v>849.44443729616501</v>
      </c>
    </row>
    <row r="51" spans="1:8" ht="31.5">
      <c r="A51" s="97">
        <v>35</v>
      </c>
      <c r="B51" s="82" t="s">
        <v>262</v>
      </c>
      <c r="C51" s="52" t="s">
        <v>48</v>
      </c>
      <c r="D51" s="27" t="s">
        <v>211</v>
      </c>
      <c r="E51" s="145">
        <f>нормы!BH48</f>
        <v>676.27349456143156</v>
      </c>
      <c r="F51" s="145">
        <f>нормы!BJ48</f>
        <v>726.76213655933975</v>
      </c>
      <c r="G51" s="162">
        <f>нормы!BK48</f>
        <v>656.53445274947137</v>
      </c>
      <c r="H51" s="204">
        <f t="shared" si="0"/>
        <v>857.57932114002085</v>
      </c>
    </row>
    <row r="52" spans="1:8" ht="63">
      <c r="A52" s="40" t="s">
        <v>135</v>
      </c>
      <c r="B52" s="82" t="s">
        <v>263</v>
      </c>
      <c r="C52" s="52" t="s">
        <v>49</v>
      </c>
      <c r="D52" s="27" t="s">
        <v>211</v>
      </c>
      <c r="E52" s="145">
        <f>нормы!BH49</f>
        <v>792.49654342943154</v>
      </c>
      <c r="F52" s="145">
        <f>нормы!BJ49</f>
        <v>857.30927923418767</v>
      </c>
      <c r="G52" s="162">
        <f>нормы!BK49</f>
        <v>767.15735323987133</v>
      </c>
      <c r="H52" s="204">
        <f t="shared" si="0"/>
        <v>1011.6249494963414</v>
      </c>
    </row>
    <row r="53" spans="1:8" ht="31.5">
      <c r="A53" s="125" t="s">
        <v>136</v>
      </c>
      <c r="B53" s="82" t="s">
        <v>264</v>
      </c>
      <c r="C53" s="52" t="s">
        <v>50</v>
      </c>
      <c r="D53" s="27" t="s">
        <v>211</v>
      </c>
      <c r="E53" s="145">
        <f>нормы!BH50</f>
        <v>767.53202177443154</v>
      </c>
      <c r="F53" s="145">
        <f>нормы!BJ50</f>
        <v>816.97376641313986</v>
      </c>
      <c r="G53" s="162">
        <f>нормы!BK50</f>
        <v>748.20227500247131</v>
      </c>
      <c r="H53" s="204">
        <f t="shared" si="0"/>
        <v>964.02904436750498</v>
      </c>
    </row>
    <row r="54" spans="1:8" ht="31.5">
      <c r="A54" s="40" t="s">
        <v>137</v>
      </c>
      <c r="B54" s="82" t="s">
        <v>265</v>
      </c>
      <c r="C54" s="52" t="s">
        <v>51</v>
      </c>
      <c r="D54" s="27" t="s">
        <v>211</v>
      </c>
      <c r="E54" s="145">
        <f>нормы!BH51</f>
        <v>800.08516140209827</v>
      </c>
      <c r="F54" s="145">
        <f>нормы!BJ51</f>
        <v>855.66375491211204</v>
      </c>
      <c r="G54" s="162">
        <f>нормы!BK51</f>
        <v>778.35615191141801</v>
      </c>
      <c r="H54" s="204">
        <f t="shared" si="0"/>
        <v>1009.6832307962922</v>
      </c>
    </row>
    <row r="55" spans="1:8" ht="31.5">
      <c r="A55" s="125" t="s">
        <v>138</v>
      </c>
      <c r="B55" s="82" t="s">
        <v>301</v>
      </c>
      <c r="C55" s="52" t="s">
        <v>300</v>
      </c>
      <c r="D55" s="27" t="s">
        <v>211</v>
      </c>
      <c r="E55" s="145">
        <f>нормы!BH52</f>
        <v>800.08516140209827</v>
      </c>
      <c r="F55" s="145">
        <f>нормы!BJ52</f>
        <v>855.66375491211204</v>
      </c>
      <c r="G55" s="162">
        <f>нормы!BK52</f>
        <v>778.35615191141801</v>
      </c>
      <c r="H55" s="204">
        <f t="shared" si="0"/>
        <v>1009.6832307962922</v>
      </c>
    </row>
    <row r="56" spans="1:8" ht="31.5">
      <c r="A56" s="40" t="s">
        <v>139</v>
      </c>
      <c r="B56" s="82" t="s">
        <v>266</v>
      </c>
      <c r="C56" s="52" t="s">
        <v>52</v>
      </c>
      <c r="D56" s="27" t="s">
        <v>211</v>
      </c>
      <c r="E56" s="145">
        <f>нормы!BH53</f>
        <v>791.08421420209822</v>
      </c>
      <c r="F56" s="145">
        <f>нормы!BJ53</f>
        <v>845.05122026219203</v>
      </c>
      <c r="G56" s="162">
        <f>нормы!BK53</f>
        <v>769.98527101541799</v>
      </c>
      <c r="H56" s="204">
        <f t="shared" si="0"/>
        <v>997.16043990938658</v>
      </c>
    </row>
    <row r="57" spans="1:8" ht="31.5">
      <c r="A57" s="125" t="s">
        <v>140</v>
      </c>
      <c r="B57" s="82" t="s">
        <v>267</v>
      </c>
      <c r="C57" s="52" t="s">
        <v>53</v>
      </c>
      <c r="D57" s="27" t="s">
        <v>211</v>
      </c>
      <c r="E57" s="145">
        <f>нормы!BH54</f>
        <v>800.08516140209827</v>
      </c>
      <c r="F57" s="145">
        <f>нормы!BJ54</f>
        <v>855.66375491211204</v>
      </c>
      <c r="G57" s="162">
        <f>нормы!BK54</f>
        <v>778.35615191141801</v>
      </c>
      <c r="H57" s="204">
        <f t="shared" si="0"/>
        <v>1009.6832307962922</v>
      </c>
    </row>
    <row r="58" spans="1:8" ht="31.5">
      <c r="A58" s="40" t="s">
        <v>141</v>
      </c>
      <c r="B58" s="82" t="s">
        <v>265</v>
      </c>
      <c r="C58" s="52" t="s">
        <v>54</v>
      </c>
      <c r="D58" s="27" t="s">
        <v>211</v>
      </c>
      <c r="E58" s="145">
        <f>нормы!BH55</f>
        <v>791.08421420209822</v>
      </c>
      <c r="F58" s="145">
        <f>нормы!BJ55</f>
        <v>845.05122026219203</v>
      </c>
      <c r="G58" s="162">
        <f>нормы!BK55</f>
        <v>769.98527101541799</v>
      </c>
      <c r="H58" s="204">
        <f t="shared" si="0"/>
        <v>997.16043990938658</v>
      </c>
    </row>
    <row r="59" spans="1:8" ht="31.5">
      <c r="A59" s="40" t="s">
        <v>142</v>
      </c>
      <c r="B59" s="82" t="s">
        <v>268</v>
      </c>
      <c r="C59" s="52" t="s">
        <v>55</v>
      </c>
      <c r="D59" s="27" t="s">
        <v>211</v>
      </c>
      <c r="E59" s="145">
        <f>нормы!BH56</f>
        <v>761.92036986076471</v>
      </c>
      <c r="F59" s="145">
        <f>нормы!BJ56</f>
        <v>817.49896337077848</v>
      </c>
      <c r="G59" s="162">
        <f>нормы!BK56</f>
        <v>740.19136037008445</v>
      </c>
      <c r="H59" s="204">
        <f t="shared" si="0"/>
        <v>964.64877677751861</v>
      </c>
    </row>
    <row r="60" spans="1:8" ht="31.5">
      <c r="A60" s="40" t="s">
        <v>143</v>
      </c>
      <c r="B60" s="82" t="s">
        <v>269</v>
      </c>
      <c r="C60" s="52" t="s">
        <v>56</v>
      </c>
      <c r="D60" s="27" t="s">
        <v>211</v>
      </c>
      <c r="E60" s="145">
        <f>нормы!BH57</f>
        <v>761.92036986076471</v>
      </c>
      <c r="F60" s="145">
        <f>нормы!BJ57</f>
        <v>817.49896337077848</v>
      </c>
      <c r="G60" s="162">
        <f>нормы!BK57</f>
        <v>740.19136037008445</v>
      </c>
      <c r="H60" s="204">
        <f t="shared" si="0"/>
        <v>964.64877677751861</v>
      </c>
    </row>
    <row r="61" spans="1:8" ht="31.5">
      <c r="A61" s="40" t="s">
        <v>144</v>
      </c>
      <c r="B61" s="82" t="s">
        <v>270</v>
      </c>
      <c r="C61" s="52" t="s">
        <v>0</v>
      </c>
      <c r="D61" s="27" t="s">
        <v>211</v>
      </c>
      <c r="E61" s="145">
        <f>нормы!BH58</f>
        <v>729.76167078876495</v>
      </c>
      <c r="F61" s="145">
        <f>нормы!BJ58</f>
        <v>783.72867684885875</v>
      </c>
      <c r="G61" s="162">
        <f>нормы!BK58</f>
        <v>708.66272760208471</v>
      </c>
      <c r="H61" s="204">
        <f t="shared" si="0"/>
        <v>924.79983868165323</v>
      </c>
    </row>
    <row r="62" spans="1:8" ht="31.5">
      <c r="A62" s="40" t="s">
        <v>145</v>
      </c>
      <c r="B62" s="82" t="s">
        <v>265</v>
      </c>
      <c r="C62" s="52" t="s">
        <v>57</v>
      </c>
      <c r="D62" s="27" t="s">
        <v>211</v>
      </c>
      <c r="E62" s="145">
        <f>нормы!BH59</f>
        <v>800.08516140209827</v>
      </c>
      <c r="F62" s="145">
        <f>нормы!BJ59</f>
        <v>855.66375491211204</v>
      </c>
      <c r="G62" s="162">
        <f>нормы!BK59</f>
        <v>778.35615191141801</v>
      </c>
      <c r="H62" s="204">
        <f t="shared" si="0"/>
        <v>1009.6832307962922</v>
      </c>
    </row>
    <row r="63" spans="1:8" ht="31.5">
      <c r="A63" s="40" t="s">
        <v>146</v>
      </c>
      <c r="B63" s="82" t="s">
        <v>271</v>
      </c>
      <c r="C63" s="52" t="s">
        <v>4</v>
      </c>
      <c r="D63" s="27" t="s">
        <v>211</v>
      </c>
      <c r="E63" s="145">
        <f>нормы!BH60</f>
        <v>736.02802874929819</v>
      </c>
      <c r="F63" s="145">
        <f>нормы!BJ60</f>
        <v>789.995034809392</v>
      </c>
      <c r="G63" s="162">
        <f>нормы!BK60</f>
        <v>714.92908556261796</v>
      </c>
      <c r="H63" s="204">
        <f t="shared" si="0"/>
        <v>932.19414107508248</v>
      </c>
    </row>
    <row r="64" spans="1:8" ht="31.5">
      <c r="A64" s="40" t="s">
        <v>147</v>
      </c>
      <c r="B64" s="82" t="s">
        <v>272</v>
      </c>
      <c r="C64" s="52" t="s">
        <v>58</v>
      </c>
      <c r="D64" s="27" t="s">
        <v>211</v>
      </c>
      <c r="E64" s="145">
        <f>нормы!BH61</f>
        <v>704.68507041543148</v>
      </c>
      <c r="F64" s="145">
        <f>нормы!BJ61</f>
        <v>761.43745793424534</v>
      </c>
      <c r="G64" s="162">
        <f>нормы!BK61</f>
        <v>682.49715436475128</v>
      </c>
      <c r="H64" s="204">
        <f t="shared" si="0"/>
        <v>898.49620036240947</v>
      </c>
    </row>
    <row r="65" spans="1:8" ht="47.25">
      <c r="A65" s="97">
        <v>49</v>
      </c>
      <c r="B65" s="82" t="s">
        <v>273</v>
      </c>
      <c r="C65" s="52" t="s">
        <v>59</v>
      </c>
      <c r="D65" s="27" t="s">
        <v>211</v>
      </c>
      <c r="E65" s="145">
        <f>нормы!BH62</f>
        <v>882.09683003143152</v>
      </c>
      <c r="F65" s="145">
        <f>нормы!BJ62</f>
        <v>958.99406067424536</v>
      </c>
      <c r="G65" s="162">
        <f>нормы!BK62</f>
        <v>852.0330851807513</v>
      </c>
      <c r="H65" s="204">
        <f t="shared" si="0"/>
        <v>1131.6129915956094</v>
      </c>
    </row>
    <row r="66" spans="1:8" ht="47.25">
      <c r="A66" s="40" t="s">
        <v>148</v>
      </c>
      <c r="B66" s="82" t="s">
        <v>274</v>
      </c>
      <c r="C66" s="52" t="s">
        <v>60</v>
      </c>
      <c r="D66" s="27" t="s">
        <v>211</v>
      </c>
      <c r="E66" s="145">
        <f>нормы!BH63</f>
        <v>924.3058828314314</v>
      </c>
      <c r="F66" s="145">
        <f>нормы!BJ63</f>
        <v>999.59152602432528</v>
      </c>
      <c r="G66" s="162">
        <f>нормы!BK63</f>
        <v>894.87220428475121</v>
      </c>
      <c r="H66" s="204">
        <f t="shared" si="0"/>
        <v>1179.5180007087038</v>
      </c>
    </row>
    <row r="67" spans="1:8" ht="31.5">
      <c r="A67" s="40" t="s">
        <v>149</v>
      </c>
      <c r="B67" s="82" t="s">
        <v>275</v>
      </c>
      <c r="C67" s="52" t="s">
        <v>61</v>
      </c>
      <c r="D67" s="27" t="s">
        <v>211</v>
      </c>
      <c r="E67" s="145">
        <f>нормы!BH64</f>
        <v>785.52889846876485</v>
      </c>
      <c r="F67" s="145">
        <f>нормы!BJ64</f>
        <v>845.1364606035786</v>
      </c>
      <c r="G67" s="162">
        <f>нормы!BK64</f>
        <v>762.22472321808459</v>
      </c>
      <c r="H67" s="204">
        <f t="shared" si="0"/>
        <v>997.26102351222266</v>
      </c>
    </row>
    <row r="68" spans="1:8" ht="47.25">
      <c r="A68" s="40" t="s">
        <v>150</v>
      </c>
      <c r="B68" s="82" t="s">
        <v>274</v>
      </c>
      <c r="C68" s="52" t="s">
        <v>62</v>
      </c>
      <c r="D68" s="27" t="s">
        <v>211</v>
      </c>
      <c r="E68" s="145">
        <f>нормы!BH65</f>
        <v>776.53060283143145</v>
      </c>
      <c r="F68" s="145">
        <f>нормы!BJ65</f>
        <v>834.52657751632523</v>
      </c>
      <c r="G68" s="162">
        <f>нормы!BK65</f>
        <v>753.85649388475122</v>
      </c>
      <c r="H68" s="204">
        <f t="shared" si="0"/>
        <v>984.74136146926378</v>
      </c>
    </row>
    <row r="69" spans="1:8" ht="47.25">
      <c r="A69" s="40" t="s">
        <v>151</v>
      </c>
      <c r="B69" s="82" t="s">
        <v>276</v>
      </c>
      <c r="C69" s="52" t="s">
        <v>63</v>
      </c>
      <c r="D69" s="27" t="s">
        <v>211</v>
      </c>
      <c r="E69" s="145">
        <f>нормы!BH66</f>
        <v>759.66534441543149</v>
      </c>
      <c r="F69" s="145">
        <f>нормы!BJ66</f>
        <v>819.27290655024524</v>
      </c>
      <c r="G69" s="162">
        <f>нормы!BK66</f>
        <v>736.36116916475135</v>
      </c>
      <c r="H69" s="204">
        <f t="shared" si="0"/>
        <v>966.74202972928936</v>
      </c>
    </row>
    <row r="70" spans="1:8" ht="31.5">
      <c r="A70" s="40" t="s">
        <v>152</v>
      </c>
      <c r="B70" s="82" t="s">
        <v>64</v>
      </c>
      <c r="C70" s="52" t="s">
        <v>65</v>
      </c>
      <c r="D70" s="27" t="s">
        <v>211</v>
      </c>
      <c r="E70" s="145">
        <f>нормы!BH67</f>
        <v>391.58922449543144</v>
      </c>
      <c r="F70" s="145">
        <f>нормы!BJ67</f>
        <v>424.79911109720524</v>
      </c>
      <c r="G70" s="162">
        <f>нормы!BK67</f>
        <v>378.60548569275124</v>
      </c>
      <c r="H70" s="204">
        <f t="shared" si="0"/>
        <v>501.26295109470215</v>
      </c>
    </row>
    <row r="71" spans="1:8" ht="31.5">
      <c r="A71" s="40" t="s">
        <v>153</v>
      </c>
      <c r="B71" s="82" t="s">
        <v>277</v>
      </c>
      <c r="C71" s="52" t="s">
        <v>66</v>
      </c>
      <c r="D71" s="27" t="s">
        <v>211</v>
      </c>
      <c r="E71" s="145">
        <f>нормы!BH68</f>
        <v>907.67915062043141</v>
      </c>
      <c r="F71" s="145">
        <f>нормы!BJ68</f>
        <v>959.59677578948526</v>
      </c>
      <c r="G71" s="162">
        <f>нормы!BK68</f>
        <v>887.38143348175117</v>
      </c>
      <c r="H71" s="204">
        <f t="shared" si="0"/>
        <v>1132.3241954315924</v>
      </c>
    </row>
    <row r="72" spans="1:8" ht="31.5">
      <c r="A72" s="40" t="s">
        <v>154</v>
      </c>
      <c r="B72" s="82" t="s">
        <v>277</v>
      </c>
      <c r="C72" s="52" t="s">
        <v>82</v>
      </c>
      <c r="D72" s="27" t="s">
        <v>211</v>
      </c>
      <c r="E72" s="145">
        <f>нормы!BH69</f>
        <v>907.67915062043141</v>
      </c>
      <c r="F72" s="145">
        <f>нормы!BJ69</f>
        <v>959.59677578948526</v>
      </c>
      <c r="G72" s="162">
        <f>нормы!BK69</f>
        <v>887.38143348175117</v>
      </c>
      <c r="H72" s="204">
        <f t="shared" si="0"/>
        <v>1132.3241954315924</v>
      </c>
    </row>
    <row r="73" spans="1:8" ht="61.5" customHeight="1">
      <c r="A73" s="40" t="s">
        <v>155</v>
      </c>
      <c r="B73" s="82" t="s">
        <v>278</v>
      </c>
      <c r="C73" s="52" t="s">
        <v>83</v>
      </c>
      <c r="D73" s="27" t="s">
        <v>211</v>
      </c>
      <c r="E73" s="145">
        <f>нормы!BH70</f>
        <v>1171.0864114204314</v>
      </c>
      <c r="F73" s="145">
        <f>нормы!BJ70</f>
        <v>1245.5662608883652</v>
      </c>
      <c r="G73" s="162">
        <f>нормы!BK70</f>
        <v>1141.9677660257512</v>
      </c>
      <c r="H73" s="204">
        <f t="shared" si="0"/>
        <v>1469.7681878482708</v>
      </c>
    </row>
    <row r="74" spans="1:8" ht="47.25">
      <c r="A74" s="40" t="s">
        <v>156</v>
      </c>
      <c r="B74" s="87" t="s">
        <v>316</v>
      </c>
      <c r="C74" s="27" t="s">
        <v>317</v>
      </c>
      <c r="D74" s="27" t="s">
        <v>211</v>
      </c>
      <c r="E74" s="145">
        <f>нормы!BH71</f>
        <v>1308.1032376120979</v>
      </c>
      <c r="F74" s="145">
        <f>нормы!BJ71</f>
        <v>1358.0830418523517</v>
      </c>
      <c r="G74" s="162">
        <f>нормы!BK71</f>
        <v>1288.5631310334177</v>
      </c>
      <c r="H74" s="204">
        <f t="shared" si="0"/>
        <v>1602.5379893857748</v>
      </c>
    </row>
    <row r="75" spans="1:8" ht="47.25">
      <c r="A75" s="40" t="s">
        <v>157</v>
      </c>
      <c r="B75" s="87" t="s">
        <v>318</v>
      </c>
      <c r="C75" s="27" t="s">
        <v>319</v>
      </c>
      <c r="D75" s="27" t="s">
        <v>211</v>
      </c>
      <c r="E75" s="145">
        <f>нормы!BH72</f>
        <v>1381.2155978287647</v>
      </c>
      <c r="F75" s="145">
        <f>нормы!BJ72</f>
        <v>1431.1954020690184</v>
      </c>
      <c r="G75" s="162">
        <f>нормы!BK72</f>
        <v>1361.6754912500844</v>
      </c>
      <c r="H75" s="204">
        <f t="shared" si="0"/>
        <v>1688.8105744414418</v>
      </c>
    </row>
    <row r="76" spans="1:8" ht="47.25">
      <c r="A76" s="40" t="s">
        <v>158</v>
      </c>
      <c r="B76" s="87" t="s">
        <v>316</v>
      </c>
      <c r="C76" s="27" t="s">
        <v>357</v>
      </c>
      <c r="D76" s="27" t="s">
        <v>211</v>
      </c>
      <c r="E76" s="145">
        <f>нормы!BH73</f>
        <v>1308.1032376120979</v>
      </c>
      <c r="F76" s="145">
        <f>нормы!BJ73</f>
        <v>1358.0830418523517</v>
      </c>
      <c r="G76" s="162">
        <f>нормы!BK73</f>
        <v>1288.5631310334177</v>
      </c>
      <c r="H76" s="204">
        <f t="shared" si="0"/>
        <v>1602.5379893857748</v>
      </c>
    </row>
    <row r="77" spans="1:8" ht="47.25">
      <c r="A77" s="40" t="s">
        <v>160</v>
      </c>
      <c r="B77" s="87" t="s">
        <v>318</v>
      </c>
      <c r="C77" s="27" t="s">
        <v>358</v>
      </c>
      <c r="D77" s="27" t="s">
        <v>211</v>
      </c>
      <c r="E77" s="145">
        <f>нормы!BH74</f>
        <v>1381.2155978287647</v>
      </c>
      <c r="F77" s="145">
        <f>нормы!BJ74</f>
        <v>1431.1954020690184</v>
      </c>
      <c r="G77" s="162">
        <f>нормы!BK74</f>
        <v>1361.6754912500844</v>
      </c>
      <c r="H77" s="204">
        <f t="shared" si="0"/>
        <v>1688.8105744414418</v>
      </c>
    </row>
    <row r="78" spans="1:8" ht="55.5" customHeight="1">
      <c r="A78" s="40" t="s">
        <v>161</v>
      </c>
      <c r="B78" s="87" t="s">
        <v>359</v>
      </c>
      <c r="C78" s="27" t="s">
        <v>360</v>
      </c>
      <c r="D78" s="27" t="s">
        <v>211</v>
      </c>
      <c r="E78" s="145">
        <f>нормы!BH75</f>
        <v>1550.4548698287649</v>
      </c>
      <c r="F78" s="145">
        <f>нормы!BJ75</f>
        <v>1600.4346740690187</v>
      </c>
      <c r="G78" s="162">
        <f>нормы!BK75</f>
        <v>1530.9147632500847</v>
      </c>
      <c r="H78" s="204">
        <f t="shared" si="0"/>
        <v>1888.5129154014419</v>
      </c>
    </row>
    <row r="79" spans="1:8" ht="47.25">
      <c r="A79" s="40" t="s">
        <v>162</v>
      </c>
      <c r="B79" s="87" t="s">
        <v>359</v>
      </c>
      <c r="C79" s="27" t="s">
        <v>361</v>
      </c>
      <c r="D79" s="27" t="s">
        <v>211</v>
      </c>
      <c r="E79" s="145">
        <f>нормы!BH76</f>
        <v>1550.4548698287649</v>
      </c>
      <c r="F79" s="145">
        <f>нормы!BJ76</f>
        <v>1600.4346740690187</v>
      </c>
      <c r="G79" s="162">
        <f>нормы!BK76</f>
        <v>1530.9147632500847</v>
      </c>
      <c r="H79" s="204">
        <f t="shared" si="0"/>
        <v>1888.5129154014419</v>
      </c>
    </row>
    <row r="80" spans="1:8" ht="47.25">
      <c r="A80" s="40" t="s">
        <v>159</v>
      </c>
      <c r="B80" s="82" t="s">
        <v>380</v>
      </c>
      <c r="C80" s="52" t="s">
        <v>381</v>
      </c>
      <c r="D80" s="27" t="s">
        <v>211</v>
      </c>
      <c r="E80" s="145">
        <f>нормы!BH77</f>
        <v>2293.6765315802945</v>
      </c>
      <c r="F80" s="145">
        <f>нормы!BJ77</f>
        <v>2344.4203627405486</v>
      </c>
      <c r="G80" s="162">
        <f>нормы!BK77</f>
        <v>2273.8377210016142</v>
      </c>
      <c r="H80" s="204">
        <f t="shared" si="0"/>
        <v>2766.4160280338474</v>
      </c>
    </row>
    <row r="81" spans="1:8" ht="47.25">
      <c r="A81" s="40" t="s">
        <v>163</v>
      </c>
      <c r="B81" s="82" t="s">
        <v>279</v>
      </c>
      <c r="C81" s="52" t="s">
        <v>3</v>
      </c>
      <c r="D81" s="27" t="s">
        <v>211</v>
      </c>
      <c r="E81" s="145">
        <f>нормы!BH78</f>
        <v>1269.7278770370981</v>
      </c>
      <c r="F81" s="145">
        <f>нормы!BJ78</f>
        <v>1326.9180579970318</v>
      </c>
      <c r="G81" s="162">
        <f>нормы!BK78</f>
        <v>1247.3688012424179</v>
      </c>
      <c r="H81" s="204">
        <f t="shared" si="0"/>
        <v>1565.7633084364975</v>
      </c>
    </row>
    <row r="82" spans="1:8" ht="31.5">
      <c r="A82" s="40" t="s">
        <v>164</v>
      </c>
      <c r="B82" s="86" t="s">
        <v>230</v>
      </c>
      <c r="C82" s="52" t="s">
        <v>449</v>
      </c>
      <c r="D82" s="27" t="s">
        <v>211</v>
      </c>
      <c r="E82" s="145">
        <f>нормы!BH79</f>
        <v>1350.0930631776982</v>
      </c>
      <c r="F82" s="145">
        <f>нормы!BJ79</f>
        <v>1395.237579674352</v>
      </c>
      <c r="G82" s="162">
        <f>нормы!BK79</f>
        <v>1332.443360919018</v>
      </c>
      <c r="H82" s="204">
        <f t="shared" ref="H82:H145" si="1">F82*1.18</f>
        <v>1646.3803440157353</v>
      </c>
    </row>
    <row r="83" spans="1:8" ht="31.5">
      <c r="A83" s="40" t="s">
        <v>165</v>
      </c>
      <c r="B83" s="86" t="s">
        <v>230</v>
      </c>
      <c r="C83" s="52" t="s">
        <v>450</v>
      </c>
      <c r="D83" s="27" t="s">
        <v>211</v>
      </c>
      <c r="E83" s="145">
        <f>нормы!BH80</f>
        <v>1350.0930631776982</v>
      </c>
      <c r="F83" s="145">
        <f>нормы!BJ80</f>
        <v>1395.237579674352</v>
      </c>
      <c r="G83" s="162">
        <f>нормы!BK80</f>
        <v>1332.443360919018</v>
      </c>
      <c r="H83" s="204">
        <f t="shared" si="1"/>
        <v>1646.3803440157353</v>
      </c>
    </row>
    <row r="84" spans="1:8" ht="31.5">
      <c r="A84" s="40" t="s">
        <v>166</v>
      </c>
      <c r="B84" s="82" t="s">
        <v>285</v>
      </c>
      <c r="C84" s="52" t="s">
        <v>295</v>
      </c>
      <c r="D84" s="27" t="s">
        <v>211</v>
      </c>
      <c r="E84" s="145">
        <f>нормы!BH81</f>
        <v>1034.9565979307649</v>
      </c>
      <c r="F84" s="145">
        <f>нормы!BJ81</f>
        <v>1085.7004290910188</v>
      </c>
      <c r="G84" s="162">
        <f>нормы!BK81</f>
        <v>1015.1177873520847</v>
      </c>
      <c r="H84" s="204">
        <f t="shared" si="1"/>
        <v>1281.126506327402</v>
      </c>
    </row>
    <row r="85" spans="1:8" ht="31.5">
      <c r="A85" s="40" t="s">
        <v>167</v>
      </c>
      <c r="B85" s="82" t="s">
        <v>285</v>
      </c>
      <c r="C85" s="52" t="s">
        <v>297</v>
      </c>
      <c r="D85" s="27" t="s">
        <v>211</v>
      </c>
      <c r="E85" s="145">
        <f>нормы!BH82</f>
        <v>1062.4743525412648</v>
      </c>
      <c r="F85" s="145">
        <f>нормы!BJ82</f>
        <v>1113.2181837015187</v>
      </c>
      <c r="G85" s="162">
        <f>нормы!BK82</f>
        <v>1042.6355419625845</v>
      </c>
      <c r="H85" s="204">
        <f t="shared" si="1"/>
        <v>1313.597456767792</v>
      </c>
    </row>
    <row r="86" spans="1:8" ht="31.5">
      <c r="A86" s="40" t="s">
        <v>168</v>
      </c>
      <c r="B86" s="82" t="s">
        <v>285</v>
      </c>
      <c r="C86" s="52" t="s">
        <v>298</v>
      </c>
      <c r="D86" s="27" t="s">
        <v>211</v>
      </c>
      <c r="E86" s="145">
        <f>нормы!BH83</f>
        <v>1062.4743525412648</v>
      </c>
      <c r="F86" s="145">
        <f>нормы!BJ83</f>
        <v>1113.2181837015187</v>
      </c>
      <c r="G86" s="162">
        <f>нормы!BK83</f>
        <v>1042.6355419625845</v>
      </c>
      <c r="H86" s="204">
        <f t="shared" si="1"/>
        <v>1313.597456767792</v>
      </c>
    </row>
    <row r="87" spans="1:8" ht="55.5" customHeight="1">
      <c r="A87" s="40" t="s">
        <v>169</v>
      </c>
      <c r="B87" s="82" t="s">
        <v>455</v>
      </c>
      <c r="C87" s="52"/>
      <c r="D87" s="27" t="s">
        <v>211</v>
      </c>
      <c r="E87" s="145">
        <f>нормы!BH84</f>
        <v>1062.4743525412648</v>
      </c>
      <c r="F87" s="145">
        <f>нормы!BJ84</f>
        <v>1113.2181837015187</v>
      </c>
      <c r="G87" s="162">
        <f>нормы!BK84</f>
        <v>1042.6355419625845</v>
      </c>
      <c r="H87" s="204">
        <f t="shared" si="1"/>
        <v>1313.597456767792</v>
      </c>
    </row>
    <row r="88" spans="1:8" ht="31.5">
      <c r="A88" s="40" t="s">
        <v>170</v>
      </c>
      <c r="B88" s="122" t="s">
        <v>339</v>
      </c>
      <c r="C88" s="16" t="s">
        <v>340</v>
      </c>
      <c r="D88" s="27" t="s">
        <v>211</v>
      </c>
      <c r="E88" s="145">
        <f>нормы!BH85</f>
        <v>655.9509606012648</v>
      </c>
      <c r="F88" s="145">
        <f>нормы!BJ85</f>
        <v>701.09547709791855</v>
      </c>
      <c r="G88" s="162">
        <f>нормы!BK85</f>
        <v>638.30125834258456</v>
      </c>
      <c r="H88" s="204">
        <f t="shared" si="1"/>
        <v>827.29266297554386</v>
      </c>
    </row>
    <row r="89" spans="1:8" ht="31.5">
      <c r="A89" s="40" t="s">
        <v>171</v>
      </c>
      <c r="B89" s="122" t="s">
        <v>339</v>
      </c>
      <c r="C89" s="16" t="s">
        <v>341</v>
      </c>
      <c r="D89" s="27" t="s">
        <v>211</v>
      </c>
      <c r="E89" s="145">
        <f>нормы!BH86</f>
        <v>655.9509606012648</v>
      </c>
      <c r="F89" s="145">
        <f>нормы!BJ86</f>
        <v>701.09547709791855</v>
      </c>
      <c r="G89" s="162">
        <f>нормы!BK86</f>
        <v>638.30125834258456</v>
      </c>
      <c r="H89" s="204">
        <f t="shared" si="1"/>
        <v>827.29266297554386</v>
      </c>
    </row>
    <row r="90" spans="1:8" ht="31.5">
      <c r="A90" s="40" t="s">
        <v>172</v>
      </c>
      <c r="B90" s="122" t="s">
        <v>339</v>
      </c>
      <c r="C90" s="16" t="s">
        <v>342</v>
      </c>
      <c r="D90" s="27" t="s">
        <v>211</v>
      </c>
      <c r="E90" s="145">
        <f>нормы!BH87</f>
        <v>655.9509606012648</v>
      </c>
      <c r="F90" s="145">
        <f>нормы!BJ87</f>
        <v>701.09547709791855</v>
      </c>
      <c r="G90" s="162">
        <f>нормы!BK87</f>
        <v>638.30125834258456</v>
      </c>
      <c r="H90" s="204">
        <f t="shared" si="1"/>
        <v>827.29266297554386</v>
      </c>
    </row>
    <row r="91" spans="1:8" ht="31.5">
      <c r="A91" s="40" t="s">
        <v>173</v>
      </c>
      <c r="B91" s="122" t="s">
        <v>339</v>
      </c>
      <c r="C91" s="16" t="s">
        <v>343</v>
      </c>
      <c r="D91" s="27" t="s">
        <v>211</v>
      </c>
      <c r="E91" s="145">
        <f>нормы!BH88</f>
        <v>655.9509606012648</v>
      </c>
      <c r="F91" s="145">
        <f>нормы!BJ88</f>
        <v>701.09547709791855</v>
      </c>
      <c r="G91" s="162">
        <f>нормы!BK88</f>
        <v>638.30125834258456</v>
      </c>
      <c r="H91" s="204">
        <f t="shared" si="1"/>
        <v>827.29266297554386</v>
      </c>
    </row>
    <row r="92" spans="1:8" ht="31.5">
      <c r="A92" s="40" t="s">
        <v>174</v>
      </c>
      <c r="B92" s="122" t="s">
        <v>339</v>
      </c>
      <c r="C92" s="16" t="s">
        <v>344</v>
      </c>
      <c r="D92" s="27" t="s">
        <v>211</v>
      </c>
      <c r="E92" s="145">
        <f>нормы!BH89</f>
        <v>655.9509606012648</v>
      </c>
      <c r="F92" s="145">
        <f>нормы!BJ89</f>
        <v>701.09547709791855</v>
      </c>
      <c r="G92" s="162">
        <f>нормы!BK89</f>
        <v>638.30125834258456</v>
      </c>
      <c r="H92" s="204">
        <f t="shared" si="1"/>
        <v>827.29266297554386</v>
      </c>
    </row>
    <row r="93" spans="1:8" ht="31.5">
      <c r="A93" s="40" t="s">
        <v>175</v>
      </c>
      <c r="B93" s="122" t="s">
        <v>339</v>
      </c>
      <c r="C93" s="16" t="s">
        <v>385</v>
      </c>
      <c r="D93" s="27" t="s">
        <v>211</v>
      </c>
      <c r="E93" s="145">
        <f>нормы!BH90</f>
        <v>655.9509606012648</v>
      </c>
      <c r="F93" s="145">
        <f>нормы!BJ90</f>
        <v>701.09547709791855</v>
      </c>
      <c r="G93" s="162">
        <f>нормы!BK90</f>
        <v>638.30125834258456</v>
      </c>
      <c r="H93" s="204">
        <f t="shared" si="1"/>
        <v>827.29266297554386</v>
      </c>
    </row>
    <row r="94" spans="1:8" ht="31.5">
      <c r="A94" s="40" t="s">
        <v>176</v>
      </c>
      <c r="B94" s="122" t="s">
        <v>339</v>
      </c>
      <c r="C94" s="16" t="s">
        <v>386</v>
      </c>
      <c r="D94" s="27" t="s">
        <v>211</v>
      </c>
      <c r="E94" s="145">
        <f>нормы!BH91</f>
        <v>655.9509606012648</v>
      </c>
      <c r="F94" s="145">
        <f>нормы!BJ91</f>
        <v>701.09547709791855</v>
      </c>
      <c r="G94" s="162">
        <f>нормы!BK91</f>
        <v>638.30125834258456</v>
      </c>
      <c r="H94" s="204">
        <f t="shared" si="1"/>
        <v>827.29266297554386</v>
      </c>
    </row>
    <row r="95" spans="1:8" ht="31.5">
      <c r="A95" s="40" t="s">
        <v>177</v>
      </c>
      <c r="B95" s="122" t="s">
        <v>339</v>
      </c>
      <c r="C95" s="16" t="s">
        <v>404</v>
      </c>
      <c r="D95" s="27" t="s">
        <v>211</v>
      </c>
      <c r="E95" s="145">
        <f>нормы!BH92</f>
        <v>655.9509606012648</v>
      </c>
      <c r="F95" s="145">
        <f>нормы!BJ92</f>
        <v>701.09547709791855</v>
      </c>
      <c r="G95" s="162">
        <f>нормы!BK92</f>
        <v>638.30125834258456</v>
      </c>
      <c r="H95" s="204">
        <f t="shared" si="1"/>
        <v>827.29266297554386</v>
      </c>
    </row>
    <row r="96" spans="1:8" ht="31.5">
      <c r="A96" s="40" t="s">
        <v>178</v>
      </c>
      <c r="B96" s="122" t="s">
        <v>339</v>
      </c>
      <c r="C96" s="16" t="s">
        <v>405</v>
      </c>
      <c r="D96" s="27" t="s">
        <v>211</v>
      </c>
      <c r="E96" s="145">
        <f>нормы!BH93</f>
        <v>655.9509606012648</v>
      </c>
      <c r="F96" s="145">
        <f>нормы!BJ93</f>
        <v>701.09547709791855</v>
      </c>
      <c r="G96" s="162">
        <f>нормы!BK93</f>
        <v>638.30125834258456</v>
      </c>
      <c r="H96" s="204">
        <f t="shared" si="1"/>
        <v>827.29266297554386</v>
      </c>
    </row>
    <row r="97" spans="1:8" ht="31.5">
      <c r="A97" s="74">
        <v>81</v>
      </c>
      <c r="B97" s="122" t="s">
        <v>339</v>
      </c>
      <c r="C97" s="16" t="s">
        <v>415</v>
      </c>
      <c r="D97" s="27" t="s">
        <v>211</v>
      </c>
      <c r="E97" s="145">
        <f>нормы!BH94</f>
        <v>655.9509606012648</v>
      </c>
      <c r="F97" s="145">
        <f>нормы!BJ94</f>
        <v>701.09547709791855</v>
      </c>
      <c r="G97" s="162">
        <f>нормы!BK94</f>
        <v>638.30125834258456</v>
      </c>
      <c r="H97" s="204">
        <f t="shared" si="1"/>
        <v>827.29266297554386</v>
      </c>
    </row>
    <row r="98" spans="1:8" ht="31.5">
      <c r="A98" s="74">
        <v>82</v>
      </c>
      <c r="B98" s="86" t="s">
        <v>305</v>
      </c>
      <c r="C98" s="52" t="s">
        <v>306</v>
      </c>
      <c r="D98" s="27" t="s">
        <v>211</v>
      </c>
      <c r="E98" s="145">
        <f>нормы!BH95</f>
        <v>1286.0466412571816</v>
      </c>
      <c r="F98" s="145">
        <f>нормы!BJ95</f>
        <v>1331.1911577538353</v>
      </c>
      <c r="G98" s="162">
        <f>нормы!BK95</f>
        <v>1268.3969389985014</v>
      </c>
      <c r="H98" s="204">
        <f t="shared" si="1"/>
        <v>1570.8055661495257</v>
      </c>
    </row>
    <row r="99" spans="1:8" ht="31.5">
      <c r="A99" s="74">
        <v>83</v>
      </c>
      <c r="B99" s="82" t="s">
        <v>15</v>
      </c>
      <c r="C99" s="52" t="s">
        <v>16</v>
      </c>
      <c r="D99" s="27" t="s">
        <v>211</v>
      </c>
      <c r="E99" s="145">
        <f>нормы!BH96</f>
        <v>659.72413997043145</v>
      </c>
      <c r="F99" s="145">
        <f>нормы!BJ96</f>
        <v>721.28591050908528</v>
      </c>
      <c r="G99" s="162">
        <f>нормы!BK96</f>
        <v>0</v>
      </c>
      <c r="H99" s="204">
        <f t="shared" si="1"/>
        <v>851.11737440072056</v>
      </c>
    </row>
    <row r="100" spans="1:8" ht="47.25">
      <c r="A100" s="74">
        <v>84</v>
      </c>
      <c r="B100" s="82" t="s">
        <v>47</v>
      </c>
      <c r="C100" s="52" t="s">
        <v>6</v>
      </c>
      <c r="D100" s="27" t="s">
        <v>211</v>
      </c>
      <c r="E100" s="145">
        <f>нормы!BH97</f>
        <v>532.91219200209821</v>
      </c>
      <c r="F100" s="145">
        <f>нормы!BJ97</f>
        <v>586.07340433723209</v>
      </c>
      <c r="G100" s="162">
        <f>нормы!BK97</f>
        <v>512.12828196741805</v>
      </c>
      <c r="H100" s="204">
        <f t="shared" si="1"/>
        <v>691.56661711793379</v>
      </c>
    </row>
    <row r="101" spans="1:8" ht="47.25">
      <c r="A101" s="74">
        <v>85</v>
      </c>
      <c r="B101" s="82" t="s">
        <v>84</v>
      </c>
      <c r="C101" s="52" t="s">
        <v>85</v>
      </c>
      <c r="D101" s="27" t="s">
        <v>211</v>
      </c>
      <c r="E101" s="145">
        <f>нормы!BH98</f>
        <v>837.67080629809811</v>
      </c>
      <c r="F101" s="145">
        <f>нормы!BJ98</f>
        <v>901.16806798477592</v>
      </c>
      <c r="G101" s="162">
        <f>нормы!BK98</f>
        <v>812.84591393061794</v>
      </c>
      <c r="H101" s="204">
        <f t="shared" si="1"/>
        <v>1063.3783202220354</v>
      </c>
    </row>
    <row r="102" spans="1:8" ht="31.5">
      <c r="A102" s="74">
        <v>86</v>
      </c>
      <c r="B102" s="86" t="s">
        <v>248</v>
      </c>
      <c r="C102" s="52" t="s">
        <v>222</v>
      </c>
      <c r="D102" s="27" t="s">
        <v>211</v>
      </c>
      <c r="E102" s="145">
        <f>нормы!BH99</f>
        <v>632.63747320091954</v>
      </c>
      <c r="F102" s="145">
        <f>нормы!BJ99</f>
        <v>691.58200034157346</v>
      </c>
      <c r="G102" s="162">
        <f>нормы!BK99</f>
        <v>0</v>
      </c>
      <c r="H102" s="204">
        <f t="shared" si="1"/>
        <v>816.06676040305661</v>
      </c>
    </row>
    <row r="103" spans="1:8" ht="31.5">
      <c r="A103" s="74">
        <v>87</v>
      </c>
      <c r="B103" s="86" t="s">
        <v>247</v>
      </c>
      <c r="C103" s="52" t="s">
        <v>223</v>
      </c>
      <c r="D103" s="27" t="s">
        <v>211</v>
      </c>
      <c r="E103" s="145">
        <f>нормы!BH100</f>
        <v>589.60984637128615</v>
      </c>
      <c r="F103" s="145">
        <f>нормы!BJ100</f>
        <v>648.55437351194007</v>
      </c>
      <c r="G103" s="162">
        <f>нормы!BK100</f>
        <v>0</v>
      </c>
      <c r="H103" s="204">
        <f t="shared" si="1"/>
        <v>765.29416074408925</v>
      </c>
    </row>
    <row r="104" spans="1:8" ht="31.5">
      <c r="A104" s="74">
        <v>88</v>
      </c>
      <c r="B104" s="86" t="s">
        <v>247</v>
      </c>
      <c r="C104" s="52" t="s">
        <v>224</v>
      </c>
      <c r="D104" s="27" t="s">
        <v>211</v>
      </c>
      <c r="E104" s="145">
        <f>нормы!BH101</f>
        <v>589.60984637128615</v>
      </c>
      <c r="F104" s="145">
        <f>нормы!BJ101</f>
        <v>648.55437351194007</v>
      </c>
      <c r="G104" s="162">
        <f>нормы!BK101</f>
        <v>0</v>
      </c>
      <c r="H104" s="204">
        <f t="shared" si="1"/>
        <v>765.29416074408925</v>
      </c>
    </row>
    <row r="105" spans="1:8" ht="31.5">
      <c r="A105" s="74">
        <v>89</v>
      </c>
      <c r="B105" s="86" t="s">
        <v>247</v>
      </c>
      <c r="C105" s="52" t="s">
        <v>296</v>
      </c>
      <c r="D105" s="27" t="s">
        <v>211</v>
      </c>
      <c r="E105" s="145">
        <f>нормы!BH102</f>
        <v>589.60984637128615</v>
      </c>
      <c r="F105" s="145">
        <f>нормы!BJ102</f>
        <v>648.55437351194007</v>
      </c>
      <c r="G105" s="162">
        <f>нормы!BK102</f>
        <v>0</v>
      </c>
      <c r="H105" s="204">
        <f t="shared" si="1"/>
        <v>765.29416074408925</v>
      </c>
    </row>
    <row r="106" spans="1:8" ht="31.5">
      <c r="A106" s="98">
        <v>90</v>
      </c>
      <c r="B106" s="122" t="s">
        <v>323</v>
      </c>
      <c r="C106" s="10" t="s">
        <v>327</v>
      </c>
      <c r="D106" s="27" t="s">
        <v>211</v>
      </c>
      <c r="E106" s="145">
        <f>нормы!BH103</f>
        <v>877.216112608711</v>
      </c>
      <c r="F106" s="145">
        <f>нормы!BJ103</f>
        <v>933.54825207796478</v>
      </c>
      <c r="G106" s="162">
        <f>нормы!BK103</f>
        <v>855.19249675493461</v>
      </c>
      <c r="H106" s="204">
        <f t="shared" si="1"/>
        <v>1101.5869374519984</v>
      </c>
    </row>
    <row r="107" spans="1:8" ht="31.5">
      <c r="A107" s="40" t="s">
        <v>179</v>
      </c>
      <c r="B107" s="96" t="s">
        <v>324</v>
      </c>
      <c r="C107" s="10" t="s">
        <v>326</v>
      </c>
      <c r="D107" s="27" t="s">
        <v>211</v>
      </c>
      <c r="E107" s="145">
        <f>нормы!BH104</f>
        <v>866.63779566704443</v>
      </c>
      <c r="F107" s="145">
        <f>нормы!BJ104</f>
        <v>925.57924749369818</v>
      </c>
      <c r="G107" s="162">
        <f>нормы!BK104</f>
        <v>0</v>
      </c>
      <c r="H107" s="204">
        <f t="shared" si="1"/>
        <v>1092.1835120425637</v>
      </c>
    </row>
    <row r="108" spans="1:8" ht="31.5">
      <c r="A108" s="125" t="s">
        <v>418</v>
      </c>
      <c r="B108" s="122" t="s">
        <v>401</v>
      </c>
      <c r="C108" s="16" t="s">
        <v>402</v>
      </c>
      <c r="D108" s="27" t="s">
        <v>211</v>
      </c>
      <c r="E108" s="145">
        <f>нормы!BH105</f>
        <v>640.72199057209821</v>
      </c>
      <c r="F108" s="145">
        <f>нормы!BJ105</f>
        <v>685.86650706875196</v>
      </c>
      <c r="G108" s="162">
        <f>нормы!BK105</f>
        <v>623.07228831341797</v>
      </c>
      <c r="H108" s="204">
        <f t="shared" si="1"/>
        <v>809.32247834112729</v>
      </c>
    </row>
    <row r="109" spans="1:8" ht="31.5">
      <c r="A109" s="40" t="s">
        <v>419</v>
      </c>
      <c r="B109" s="122" t="s">
        <v>406</v>
      </c>
      <c r="C109" s="16" t="s">
        <v>407</v>
      </c>
      <c r="D109" s="27" t="s">
        <v>211</v>
      </c>
      <c r="E109" s="145">
        <f>нормы!BH106</f>
        <v>2321.1975517596006</v>
      </c>
      <c r="F109" s="146">
        <f>нормы!BJ106</f>
        <v>2377.5327665428545</v>
      </c>
      <c r="G109" s="162">
        <f>нормы!BK106</f>
        <v>2299.1727335809205</v>
      </c>
      <c r="H109" s="204">
        <f t="shared" si="1"/>
        <v>2805.4886645205679</v>
      </c>
    </row>
    <row r="110" spans="1:8" ht="47.25">
      <c r="A110" s="40" t="s">
        <v>420</v>
      </c>
      <c r="B110" s="122" t="s">
        <v>412</v>
      </c>
      <c r="C110" s="16" t="s">
        <v>413</v>
      </c>
      <c r="D110" s="27" t="s">
        <v>211</v>
      </c>
      <c r="E110" s="145">
        <f>нормы!BH109</f>
        <v>886.52386661709818</v>
      </c>
      <c r="F110" s="146">
        <f>нормы!BJ109</f>
        <v>937.26769777735194</v>
      </c>
      <c r="G110" s="163">
        <f>нормы!BK109</f>
        <v>866.685056038418</v>
      </c>
      <c r="H110" s="204">
        <f t="shared" si="1"/>
        <v>1105.9758833772753</v>
      </c>
    </row>
    <row r="111" spans="1:8" ht="31.5">
      <c r="A111" s="40" t="s">
        <v>421</v>
      </c>
      <c r="B111" s="86" t="s">
        <v>231</v>
      </c>
      <c r="C111" s="52" t="s">
        <v>225</v>
      </c>
      <c r="D111" s="27" t="s">
        <v>211</v>
      </c>
      <c r="E111" s="145">
        <f>нормы!BH110</f>
        <v>700.78594167543145</v>
      </c>
      <c r="F111" s="146">
        <f>нормы!BJ110</f>
        <v>761.30144933813324</v>
      </c>
      <c r="G111" s="163">
        <f>нормы!BK110</f>
        <v>0</v>
      </c>
      <c r="H111" s="204">
        <f t="shared" si="1"/>
        <v>898.33571021899718</v>
      </c>
    </row>
    <row r="112" spans="1:8" ht="31.5">
      <c r="A112" s="40" t="s">
        <v>422</v>
      </c>
      <c r="B112" s="86" t="s">
        <v>232</v>
      </c>
      <c r="C112" s="52" t="s">
        <v>226</v>
      </c>
      <c r="D112" s="27" t="s">
        <v>211</v>
      </c>
      <c r="E112" s="145">
        <f>нормы!BH111</f>
        <v>614.93674999543157</v>
      </c>
      <c r="F112" s="146">
        <f>нормы!BJ111</f>
        <v>660.08126649208532</v>
      </c>
      <c r="G112" s="163">
        <f>нормы!BK111</f>
        <v>0</v>
      </c>
      <c r="H112" s="204">
        <f t="shared" si="1"/>
        <v>778.89589446066066</v>
      </c>
    </row>
    <row r="113" spans="1:8" ht="47.25">
      <c r="A113" s="40" t="s">
        <v>423</v>
      </c>
      <c r="B113" s="86" t="s">
        <v>251</v>
      </c>
      <c r="C113" s="52" t="s">
        <v>227</v>
      </c>
      <c r="D113" s="27" t="s">
        <v>211</v>
      </c>
      <c r="E113" s="145">
        <f>нормы!BH112</f>
        <v>755.76671250876484</v>
      </c>
      <c r="F113" s="146">
        <f>нормы!BJ112</f>
        <v>816.28222017146663</v>
      </c>
      <c r="G113" s="163">
        <f>нормы!BK112</f>
        <v>732.10756683248462</v>
      </c>
      <c r="H113" s="204">
        <f t="shared" si="1"/>
        <v>963.21301980233056</v>
      </c>
    </row>
    <row r="114" spans="1:8" ht="47.25">
      <c r="A114" s="40" t="s">
        <v>424</v>
      </c>
      <c r="B114" s="86" t="s">
        <v>249</v>
      </c>
      <c r="C114" s="52" t="s">
        <v>228</v>
      </c>
      <c r="D114" s="27" t="s">
        <v>211</v>
      </c>
      <c r="E114" s="145">
        <f>нормы!BH113</f>
        <v>755.76671250876484</v>
      </c>
      <c r="F114" s="146">
        <f>нормы!BJ113</f>
        <v>816.28222017146663</v>
      </c>
      <c r="G114" s="163">
        <f>нормы!BK113</f>
        <v>732.10756683248462</v>
      </c>
      <c r="H114" s="204">
        <f t="shared" si="1"/>
        <v>963.21301980233056</v>
      </c>
    </row>
    <row r="115" spans="1:8" ht="47.25">
      <c r="A115" s="40" t="s">
        <v>425</v>
      </c>
      <c r="B115" s="86" t="s">
        <v>250</v>
      </c>
      <c r="C115" s="52" t="s">
        <v>229</v>
      </c>
      <c r="D115" s="27" t="s">
        <v>211</v>
      </c>
      <c r="E115" s="145">
        <f>нормы!BH114</f>
        <v>755.76671250876484</v>
      </c>
      <c r="F115" s="146">
        <f>нормы!BJ114</f>
        <v>816.28222017146663</v>
      </c>
      <c r="G115" s="163">
        <f>нормы!BK114</f>
        <v>732.10756683248462</v>
      </c>
      <c r="H115" s="204">
        <f t="shared" si="1"/>
        <v>963.21301980233056</v>
      </c>
    </row>
    <row r="116" spans="1:8" ht="31.5">
      <c r="A116" s="40" t="s">
        <v>426</v>
      </c>
      <c r="B116" s="87" t="s">
        <v>320</v>
      </c>
      <c r="C116" s="52" t="s">
        <v>321</v>
      </c>
      <c r="D116" s="27" t="s">
        <v>211</v>
      </c>
      <c r="E116" s="145">
        <f>нормы!BH115</f>
        <v>707.52854352573456</v>
      </c>
      <c r="F116" s="146">
        <f>нормы!BJ115</f>
        <v>752.67306002238831</v>
      </c>
      <c r="G116" s="163">
        <f>нормы!BK115</f>
        <v>0</v>
      </c>
      <c r="H116" s="204">
        <f t="shared" si="1"/>
        <v>888.15421082641819</v>
      </c>
    </row>
    <row r="117" spans="1:8" ht="31.5">
      <c r="A117" s="40" t="s">
        <v>427</v>
      </c>
      <c r="B117" s="87" t="s">
        <v>366</v>
      </c>
      <c r="C117" s="121" t="s">
        <v>367</v>
      </c>
      <c r="D117" s="27" t="s">
        <v>211</v>
      </c>
      <c r="E117" s="145">
        <f>нормы!BH116</f>
        <v>667.94792119543149</v>
      </c>
      <c r="F117" s="146">
        <f>нормы!BJ116</f>
        <v>713.09243769208524</v>
      </c>
      <c r="G117" s="163">
        <f>нормы!BK116</f>
        <v>650.29821893675125</v>
      </c>
      <c r="H117" s="204">
        <f t="shared" si="1"/>
        <v>841.44907647666059</v>
      </c>
    </row>
    <row r="118" spans="1:8" ht="31.5">
      <c r="A118" s="74">
        <v>102</v>
      </c>
      <c r="B118" s="87" t="s">
        <v>366</v>
      </c>
      <c r="C118" s="121" t="s">
        <v>368</v>
      </c>
      <c r="D118" s="27" t="s">
        <v>211</v>
      </c>
      <c r="E118" s="145">
        <f>нормы!BH117</f>
        <v>667.94792119543149</v>
      </c>
      <c r="F118" s="146">
        <f>нормы!BJ117</f>
        <v>713.09243769208524</v>
      </c>
      <c r="G118" s="163">
        <f>нормы!BK117</f>
        <v>650.29821893675125</v>
      </c>
      <c r="H118" s="204">
        <f t="shared" si="1"/>
        <v>841.44907647666059</v>
      </c>
    </row>
    <row r="119" spans="1:8" ht="31.5">
      <c r="A119" s="40" t="s">
        <v>428</v>
      </c>
      <c r="B119" s="87" t="s">
        <v>366</v>
      </c>
      <c r="C119" s="121" t="s">
        <v>369</v>
      </c>
      <c r="D119" s="27" t="s">
        <v>211</v>
      </c>
      <c r="E119" s="145">
        <f>нормы!BH118</f>
        <v>667.94792119543149</v>
      </c>
      <c r="F119" s="146">
        <f>нормы!BJ118</f>
        <v>713.09243769208524</v>
      </c>
      <c r="G119" s="163">
        <f>нормы!BK118</f>
        <v>650.29821893675125</v>
      </c>
      <c r="H119" s="204">
        <f t="shared" si="1"/>
        <v>841.44907647666059</v>
      </c>
    </row>
    <row r="120" spans="1:8" ht="31.5">
      <c r="A120" s="40" t="s">
        <v>429</v>
      </c>
      <c r="B120" s="87" t="s">
        <v>366</v>
      </c>
      <c r="C120" s="121" t="s">
        <v>370</v>
      </c>
      <c r="D120" s="27" t="s">
        <v>211</v>
      </c>
      <c r="E120" s="145">
        <f>нормы!BH119</f>
        <v>667.94792119543149</v>
      </c>
      <c r="F120" s="146">
        <f>нормы!BJ119</f>
        <v>713.09243769208524</v>
      </c>
      <c r="G120" s="163">
        <f>нормы!BK119</f>
        <v>650.29821893675125</v>
      </c>
      <c r="H120" s="204">
        <f t="shared" si="1"/>
        <v>841.44907647666059</v>
      </c>
    </row>
    <row r="121" spans="1:8" ht="31.5">
      <c r="A121" s="40" t="s">
        <v>430</v>
      </c>
      <c r="B121" s="87" t="s">
        <v>366</v>
      </c>
      <c r="C121" s="121" t="s">
        <v>371</v>
      </c>
      <c r="D121" s="27" t="s">
        <v>211</v>
      </c>
      <c r="E121" s="145">
        <f>нормы!BH120</f>
        <v>667.94792119543149</v>
      </c>
      <c r="F121" s="146">
        <f>нормы!BJ120</f>
        <v>713.09243769208524</v>
      </c>
      <c r="G121" s="163">
        <f>нормы!BK120</f>
        <v>650.29821893675125</v>
      </c>
      <c r="H121" s="204">
        <f t="shared" si="1"/>
        <v>841.44907647666059</v>
      </c>
    </row>
    <row r="122" spans="1:8" ht="31.5">
      <c r="A122" s="40" t="s">
        <v>431</v>
      </c>
      <c r="B122" s="87" t="s">
        <v>366</v>
      </c>
      <c r="C122" s="121" t="s">
        <v>372</v>
      </c>
      <c r="D122" s="27" t="s">
        <v>211</v>
      </c>
      <c r="E122" s="145">
        <f>нормы!BH121</f>
        <v>667.94792119543149</v>
      </c>
      <c r="F122" s="146">
        <f>нормы!BJ121</f>
        <v>713.09243769208524</v>
      </c>
      <c r="G122" s="163">
        <f>нормы!BK121</f>
        <v>650.29821893675125</v>
      </c>
      <c r="H122" s="204">
        <f t="shared" si="1"/>
        <v>841.44907647666059</v>
      </c>
    </row>
    <row r="123" spans="1:8" ht="31.5">
      <c r="A123" s="40" t="s">
        <v>432</v>
      </c>
      <c r="B123" s="87" t="s">
        <v>366</v>
      </c>
      <c r="C123" s="121" t="s">
        <v>373</v>
      </c>
      <c r="D123" s="27" t="s">
        <v>211</v>
      </c>
      <c r="E123" s="145">
        <f>нормы!BH122</f>
        <v>667.94792119543149</v>
      </c>
      <c r="F123" s="146">
        <f>нормы!BJ122</f>
        <v>713.09243769208524</v>
      </c>
      <c r="G123" s="163">
        <f>нормы!BK122</f>
        <v>650.29821893675125</v>
      </c>
      <c r="H123" s="204">
        <f t="shared" si="1"/>
        <v>841.44907647666059</v>
      </c>
    </row>
    <row r="124" spans="1:8" ht="31.5">
      <c r="A124" s="40" t="s">
        <v>433</v>
      </c>
      <c r="B124" s="87" t="s">
        <v>366</v>
      </c>
      <c r="C124" s="121" t="s">
        <v>374</v>
      </c>
      <c r="D124" s="27" t="s">
        <v>211</v>
      </c>
      <c r="E124" s="145">
        <f>нормы!BH123</f>
        <v>667.94792119543149</v>
      </c>
      <c r="F124" s="146">
        <f>нормы!BJ123</f>
        <v>713.09243769208524</v>
      </c>
      <c r="G124" s="163">
        <f>нормы!BK123</f>
        <v>650.29821893675125</v>
      </c>
      <c r="H124" s="204">
        <f t="shared" si="1"/>
        <v>841.44907647666059</v>
      </c>
    </row>
    <row r="125" spans="1:8" ht="31.5">
      <c r="A125" s="40" t="s">
        <v>434</v>
      </c>
      <c r="B125" s="87" t="s">
        <v>366</v>
      </c>
      <c r="C125" s="121" t="s">
        <v>375</v>
      </c>
      <c r="D125" s="27" t="s">
        <v>211</v>
      </c>
      <c r="E125" s="145">
        <f>нормы!BH124</f>
        <v>667.94792119543149</v>
      </c>
      <c r="F125" s="146">
        <f>нормы!BJ124</f>
        <v>713.09243769208524</v>
      </c>
      <c r="G125" s="163">
        <f>нормы!BK124</f>
        <v>650.29821893675125</v>
      </c>
      <c r="H125" s="204">
        <f t="shared" si="1"/>
        <v>841.44907647666059</v>
      </c>
    </row>
    <row r="126" spans="1:8" ht="31.5">
      <c r="A126" s="40" t="s">
        <v>435</v>
      </c>
      <c r="B126" s="87" t="s">
        <v>366</v>
      </c>
      <c r="C126" s="121" t="s">
        <v>376</v>
      </c>
      <c r="D126" s="27" t="s">
        <v>211</v>
      </c>
      <c r="E126" s="145">
        <f>нормы!BH125</f>
        <v>667.94792119543149</v>
      </c>
      <c r="F126" s="146">
        <f>нормы!BJ125</f>
        <v>713.09243769208524</v>
      </c>
      <c r="G126" s="163">
        <f>нормы!BK125</f>
        <v>650.29821893675125</v>
      </c>
      <c r="H126" s="204">
        <f t="shared" si="1"/>
        <v>841.44907647666059</v>
      </c>
    </row>
    <row r="127" spans="1:8" ht="31.5">
      <c r="A127" s="40" t="s">
        <v>436</v>
      </c>
      <c r="B127" s="87" t="s">
        <v>382</v>
      </c>
      <c r="C127" s="52" t="s">
        <v>383</v>
      </c>
      <c r="D127" s="27" t="s">
        <v>211</v>
      </c>
      <c r="E127" s="145">
        <f>нормы!BH126</f>
        <v>622.78854352573455</v>
      </c>
      <c r="F127" s="146">
        <f>нормы!BJ126</f>
        <v>667.9330600223883</v>
      </c>
      <c r="G127" s="163">
        <f>нормы!BK126</f>
        <v>605.13884126705432</v>
      </c>
      <c r="H127" s="204">
        <f t="shared" si="1"/>
        <v>788.16101082641819</v>
      </c>
    </row>
    <row r="128" spans="1:8" ht="31.5">
      <c r="A128" s="40" t="s">
        <v>437</v>
      </c>
      <c r="B128" s="122" t="s">
        <v>387</v>
      </c>
      <c r="C128" s="16" t="s">
        <v>388</v>
      </c>
      <c r="D128" s="27" t="s">
        <v>211</v>
      </c>
      <c r="E128" s="145">
        <f>нормы!BH127</f>
        <v>754.6426399104314</v>
      </c>
      <c r="F128" s="146">
        <f>нормы!BJ127</f>
        <v>815.15814757313319</v>
      </c>
      <c r="G128" s="163">
        <f>нормы!BK127</f>
        <v>730.98349423415118</v>
      </c>
      <c r="H128" s="204">
        <f t="shared" si="1"/>
        <v>961.88661413629711</v>
      </c>
    </row>
    <row r="129" spans="1:8" ht="31.5">
      <c r="A129" s="40" t="s">
        <v>438</v>
      </c>
      <c r="B129" s="87" t="s">
        <v>416</v>
      </c>
      <c r="C129" s="52" t="s">
        <v>417</v>
      </c>
      <c r="D129" s="27" t="s">
        <v>211</v>
      </c>
      <c r="E129" s="145">
        <f>нормы!BH128</f>
        <v>618.05800219573462</v>
      </c>
      <c r="F129" s="146">
        <f>нормы!BJ128</f>
        <v>663.20251869238837</v>
      </c>
      <c r="G129" s="163">
        <f>нормы!BK128</f>
        <v>0</v>
      </c>
      <c r="H129" s="204">
        <f t="shared" si="1"/>
        <v>782.57897205701818</v>
      </c>
    </row>
    <row r="130" spans="1:8" ht="31.5">
      <c r="A130" s="40" t="s">
        <v>439</v>
      </c>
      <c r="B130" s="122" t="s">
        <v>314</v>
      </c>
      <c r="C130" s="16" t="s">
        <v>315</v>
      </c>
      <c r="D130" s="27" t="s">
        <v>211</v>
      </c>
      <c r="E130" s="145">
        <f>нормы!BH129</f>
        <v>567.5867800983649</v>
      </c>
      <c r="F130" s="146">
        <f>нормы!BJ129</f>
        <v>612.73129659501865</v>
      </c>
      <c r="G130" s="163">
        <f>нормы!BK129</f>
        <v>549.93707783968466</v>
      </c>
      <c r="H130" s="204">
        <f t="shared" si="1"/>
        <v>723.02292998212192</v>
      </c>
    </row>
    <row r="131" spans="1:8" ht="31.5">
      <c r="A131" s="40" t="s">
        <v>440</v>
      </c>
      <c r="B131" s="122" t="s">
        <v>349</v>
      </c>
      <c r="C131" s="16" t="s">
        <v>350</v>
      </c>
      <c r="D131" s="27" t="s">
        <v>211</v>
      </c>
      <c r="E131" s="145">
        <f>нормы!BH130</f>
        <v>592.41385275455161</v>
      </c>
      <c r="F131" s="146">
        <f>нормы!BJ130</f>
        <v>637.55836925120536</v>
      </c>
      <c r="G131" s="163">
        <f>нормы!BK130</f>
        <v>574.76415049587138</v>
      </c>
      <c r="H131" s="204">
        <f t="shared" si="1"/>
        <v>752.31887571642233</v>
      </c>
    </row>
    <row r="132" spans="1:8" ht="31.5">
      <c r="A132" s="40" t="s">
        <v>441</v>
      </c>
      <c r="B132" s="122" t="s">
        <v>349</v>
      </c>
      <c r="C132" s="16" t="s">
        <v>351</v>
      </c>
      <c r="D132" s="27" t="s">
        <v>211</v>
      </c>
      <c r="E132" s="145">
        <f>нормы!BH131</f>
        <v>592.41385275455161</v>
      </c>
      <c r="F132" s="146">
        <f>нормы!BJ131</f>
        <v>637.55836925120536</v>
      </c>
      <c r="G132" s="163">
        <f>нормы!BK131</f>
        <v>574.76415049587138</v>
      </c>
      <c r="H132" s="204">
        <f t="shared" si="1"/>
        <v>752.31887571642233</v>
      </c>
    </row>
    <row r="133" spans="1:8" ht="31.5">
      <c r="A133" s="40" t="s">
        <v>442</v>
      </c>
      <c r="B133" s="122" t="s">
        <v>349</v>
      </c>
      <c r="C133" s="16" t="s">
        <v>352</v>
      </c>
      <c r="D133" s="27" t="s">
        <v>211</v>
      </c>
      <c r="E133" s="145">
        <f>нормы!BH132</f>
        <v>592.41385275455161</v>
      </c>
      <c r="F133" s="146">
        <f>нормы!BJ132</f>
        <v>637.55836925120536</v>
      </c>
      <c r="G133" s="163">
        <f>нормы!BK132</f>
        <v>574.76415049587138</v>
      </c>
      <c r="H133" s="204">
        <f t="shared" si="1"/>
        <v>752.31887571642233</v>
      </c>
    </row>
    <row r="134" spans="1:8" ht="31.5">
      <c r="A134" s="97">
        <v>118</v>
      </c>
      <c r="B134" s="122" t="s">
        <v>349</v>
      </c>
      <c r="C134" s="16" t="s">
        <v>353</v>
      </c>
      <c r="D134" s="27" t="s">
        <v>211</v>
      </c>
      <c r="E134" s="145">
        <f>нормы!BH133</f>
        <v>592.41385275455161</v>
      </c>
      <c r="F134" s="146">
        <f>нормы!BJ133</f>
        <v>637.55836925120536</v>
      </c>
      <c r="G134" s="163">
        <f>нормы!BK133</f>
        <v>574.76415049587138</v>
      </c>
      <c r="H134" s="204">
        <f t="shared" si="1"/>
        <v>752.31887571642233</v>
      </c>
    </row>
    <row r="135" spans="1:8" ht="31.5">
      <c r="A135" s="40" t="s">
        <v>444</v>
      </c>
      <c r="B135" s="122" t="s">
        <v>349</v>
      </c>
      <c r="C135" s="16" t="s">
        <v>354</v>
      </c>
      <c r="D135" s="27" t="s">
        <v>211</v>
      </c>
      <c r="E135" s="145">
        <f>нормы!BH134</f>
        <v>592.41385275455161</v>
      </c>
      <c r="F135" s="146">
        <f>нормы!BJ134</f>
        <v>637.55836925120536</v>
      </c>
      <c r="G135" s="163">
        <f>нормы!BK134</f>
        <v>574.76415049587138</v>
      </c>
      <c r="H135" s="204">
        <f t="shared" si="1"/>
        <v>752.31887571642233</v>
      </c>
    </row>
    <row r="136" spans="1:8" ht="31.5">
      <c r="A136" s="40" t="s">
        <v>445</v>
      </c>
      <c r="B136" s="122" t="s">
        <v>355</v>
      </c>
      <c r="C136" s="16" t="s">
        <v>356</v>
      </c>
      <c r="D136" s="27" t="s">
        <v>211</v>
      </c>
      <c r="E136" s="145">
        <f>нормы!BH135</f>
        <v>586.81022333008491</v>
      </c>
      <c r="F136" s="146">
        <f>нормы!BJ135</f>
        <v>631.95473982673866</v>
      </c>
      <c r="G136" s="163">
        <f>нормы!BK135</f>
        <v>569.16052107140467</v>
      </c>
      <c r="H136" s="204">
        <f t="shared" si="1"/>
        <v>745.70659299555155</v>
      </c>
    </row>
    <row r="137" spans="1:8" ht="110.25">
      <c r="A137" s="40" t="s">
        <v>446</v>
      </c>
      <c r="B137" s="87" t="s">
        <v>389</v>
      </c>
      <c r="C137" s="27"/>
      <c r="D137" s="27"/>
      <c r="E137" s="146"/>
      <c r="F137" s="146"/>
      <c r="G137" s="163"/>
      <c r="H137" s="204">
        <f t="shared" si="1"/>
        <v>0</v>
      </c>
    </row>
    <row r="138" spans="1:8" ht="31.5">
      <c r="A138" s="74"/>
      <c r="B138" s="87" t="s">
        <v>390</v>
      </c>
      <c r="C138" s="27"/>
      <c r="D138" s="27" t="s">
        <v>211</v>
      </c>
      <c r="E138" s="146">
        <f>нормы!BH137</f>
        <v>6638.5252415183404</v>
      </c>
      <c r="F138" s="146">
        <f>нормы!BJ137</f>
        <v>6941.722811239837</v>
      </c>
      <c r="G138" s="163">
        <f>нормы!BK137</f>
        <v>6519.9871056289794</v>
      </c>
      <c r="H138" s="204">
        <f t="shared" si="1"/>
        <v>8191.232917263007</v>
      </c>
    </row>
    <row r="139" spans="1:8" ht="63">
      <c r="A139" s="40"/>
      <c r="B139" s="122" t="s">
        <v>397</v>
      </c>
      <c r="C139" s="16"/>
      <c r="D139" s="27" t="s">
        <v>211</v>
      </c>
      <c r="E139" s="146">
        <f>нормы!BH141</f>
        <v>8823.7578560020847</v>
      </c>
      <c r="F139" s="146">
        <f>нормы!BJ141</f>
        <v>9126.9554257235814</v>
      </c>
      <c r="G139" s="163">
        <f>нормы!BK141</f>
        <v>8705.2197201127237</v>
      </c>
      <c r="H139" s="204">
        <f t="shared" si="1"/>
        <v>10769.807402353825</v>
      </c>
    </row>
    <row r="140" spans="1:8" ht="94.5">
      <c r="A140" s="40" t="s">
        <v>462</v>
      </c>
      <c r="B140" s="87" t="s">
        <v>398</v>
      </c>
      <c r="C140" s="27"/>
      <c r="D140" s="27"/>
      <c r="E140" s="146"/>
      <c r="F140" s="146"/>
      <c r="G140" s="163"/>
      <c r="H140" s="204">
        <f t="shared" si="1"/>
        <v>0</v>
      </c>
    </row>
    <row r="141" spans="1:8" ht="31.5">
      <c r="A141" s="99"/>
      <c r="B141" s="87" t="s">
        <v>390</v>
      </c>
      <c r="C141" s="27"/>
      <c r="D141" s="27" t="s">
        <v>211</v>
      </c>
      <c r="E141" s="146">
        <f>нормы!BH143</f>
        <v>1768.3518815635455</v>
      </c>
      <c r="F141" s="146">
        <f>нормы!BJ143</f>
        <v>1920.8570872672797</v>
      </c>
      <c r="G141" s="163">
        <f>нормы!BK143</f>
        <v>1708.728439284145</v>
      </c>
      <c r="H141" s="204">
        <f t="shared" si="1"/>
        <v>2266.61136297539</v>
      </c>
    </row>
    <row r="142" spans="1:8" ht="47.25">
      <c r="A142" s="74"/>
      <c r="B142" s="82" t="s">
        <v>400</v>
      </c>
      <c r="C142" s="95"/>
      <c r="D142" s="27" t="s">
        <v>211</v>
      </c>
      <c r="E142" s="146">
        <f>нормы!BH147</f>
        <v>3163.5894612378975</v>
      </c>
      <c r="F142" s="146">
        <f>нормы!BJ147</f>
        <v>3316.0946669416317</v>
      </c>
      <c r="G142" s="163">
        <f>нормы!BK147</f>
        <v>3103.966018958497</v>
      </c>
      <c r="H142" s="204">
        <f t="shared" si="1"/>
        <v>3912.9917069911253</v>
      </c>
    </row>
    <row r="143" spans="1:8" ht="94.5">
      <c r="A143" s="74">
        <v>123</v>
      </c>
      <c r="B143" s="27" t="s">
        <v>452</v>
      </c>
      <c r="C143" s="95"/>
      <c r="D143" s="27"/>
      <c r="E143" s="146"/>
      <c r="F143" s="146"/>
      <c r="G143" s="163"/>
      <c r="H143" s="204">
        <f t="shared" si="1"/>
        <v>0</v>
      </c>
    </row>
    <row r="144" spans="1:8" ht="31.5">
      <c r="A144" s="40"/>
      <c r="B144" s="27" t="s">
        <v>390</v>
      </c>
      <c r="C144" s="95"/>
      <c r="D144" s="27" t="s">
        <v>211</v>
      </c>
      <c r="E144" s="146">
        <f>нормы!BH149</f>
        <v>7140.8875691016729</v>
      </c>
      <c r="F144" s="146">
        <f>нормы!BJ149</f>
        <v>7444.0851388231695</v>
      </c>
      <c r="G144" s="163">
        <f>нормы!BK149</f>
        <v>7022.3494332123119</v>
      </c>
      <c r="H144" s="204">
        <f t="shared" si="1"/>
        <v>8784.0204638113391</v>
      </c>
    </row>
    <row r="145" spans="1:8" ht="78" customHeight="1" thickBot="1">
      <c r="A145" s="100"/>
      <c r="B145" s="123" t="s">
        <v>454</v>
      </c>
      <c r="C145" s="80"/>
      <c r="D145" s="33" t="s">
        <v>211</v>
      </c>
      <c r="E145" s="147">
        <f>нормы!BH153</f>
        <v>9387.0375691016725</v>
      </c>
      <c r="F145" s="147">
        <f>нормы!BJ153</f>
        <v>9690.2351388231691</v>
      </c>
      <c r="G145" s="164">
        <f>нормы!BK153</f>
        <v>9268.4994332123115</v>
      </c>
      <c r="H145" s="204">
        <f t="shared" si="1"/>
        <v>11434.477463811339</v>
      </c>
    </row>
    <row r="146" spans="1:8">
      <c r="A146" s="91"/>
      <c r="B146" s="92"/>
      <c r="C146" s="93"/>
      <c r="D146" s="94"/>
      <c r="E146" s="9"/>
      <c r="F146" s="9"/>
      <c r="G146" s="9"/>
    </row>
    <row r="148" spans="1:8">
      <c r="A148" s="6"/>
      <c r="B148" s="29"/>
      <c r="D148" s="18"/>
      <c r="E148" s="18"/>
      <c r="G148" s="19" t="s">
        <v>236</v>
      </c>
      <c r="H148" s="14"/>
    </row>
    <row r="149" spans="1:8">
      <c r="B149" s="1"/>
    </row>
    <row r="150" spans="1:8">
      <c r="B150" s="1"/>
      <c r="H150" s="20"/>
    </row>
    <row r="151" spans="1:8">
      <c r="B151" s="1"/>
      <c r="H151" s="20"/>
    </row>
    <row r="152" spans="1:8">
      <c r="B152" s="1"/>
      <c r="G152" s="21"/>
      <c r="H152" s="20"/>
    </row>
  </sheetData>
  <mergeCells count="4">
    <mergeCell ref="B11:F11"/>
    <mergeCell ref="B10:F10"/>
    <mergeCell ref="B12:F12"/>
    <mergeCell ref="B13:F13"/>
  </mergeCells>
  <phoneticPr fontId="0" type="noConversion"/>
  <pageMargins left="0.78740157480314965" right="0.31496062992125984" top="0.78740157480314965" bottom="0.74803149606299213" header="0.15748031496062992" footer="0.15748031496062992"/>
  <pageSetup paperSize="9" scale="86" fitToWidth="0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нормы</vt:lpstr>
      <vt:lpstr>тарифы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ustinova_oe</cp:lastModifiedBy>
  <cp:lastPrinted>2015-01-12T08:38:10Z</cp:lastPrinted>
  <dcterms:created xsi:type="dcterms:W3CDTF">2004-05-06T06:47:14Z</dcterms:created>
  <dcterms:modified xsi:type="dcterms:W3CDTF">2015-01-21T00:53:10Z</dcterms:modified>
</cp:coreProperties>
</file>